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0400" windowHeight="7905" activeTab="0"/>
  </bookViews>
  <sheets>
    <sheet name="Planilha Orcamentária" sheetId="1" r:id="rId1"/>
    <sheet name="Cronograma" sheetId="2" r:id="rId2"/>
  </sheets>
  <externalReferences>
    <externalReference r:id="rId5"/>
  </externalReferences>
  <definedNames>
    <definedName name="_xlnm.Print_Area" localSheetId="1">'Cronograma'!$A$1:$K$45</definedName>
    <definedName name="_xlnm.Print_Area" localSheetId="0">'Planilha Orcamentária'!$A$1:$H$89</definedName>
  </definedNames>
  <calcPr fullCalcOnLoad="1"/>
</workbook>
</file>

<file path=xl/sharedStrings.xml><?xml version="1.0" encoding="utf-8"?>
<sst xmlns="http://schemas.openxmlformats.org/spreadsheetml/2006/main" count="287" uniqueCount="194">
  <si>
    <t>ITEM</t>
  </si>
  <si>
    <t>DESCRIÇÃO</t>
  </si>
  <si>
    <t>QUANTIDADE</t>
  </si>
  <si>
    <t>UNIDADE</t>
  </si>
  <si>
    <t>PLANILHA ORÇAMENTÁRIA DE CUSTOS</t>
  </si>
  <si>
    <t>CÓDIGO</t>
  </si>
  <si>
    <t>DIRETA</t>
  </si>
  <si>
    <t>INDIRETA</t>
  </si>
  <si>
    <t>(    )</t>
  </si>
  <si>
    <t>LDI</t>
  </si>
  <si>
    <t>PREÇO TOTAL</t>
  </si>
  <si>
    <t xml:space="preserve">FORMA DE EXECUÇÃO: </t>
  </si>
  <si>
    <t>PREÇO UNITÁRIO S/ LDI</t>
  </si>
  <si>
    <t>PREÇO UNITÁRIO C/ LDI</t>
  </si>
  <si>
    <t>1.1</t>
  </si>
  <si>
    <t>INSTALAÇÕES INICIAIS DA OBRA</t>
  </si>
  <si>
    <t>IIO-PLA-005</t>
  </si>
  <si>
    <t>2.1</t>
  </si>
  <si>
    <t>2.2</t>
  </si>
  <si>
    <t>2.3</t>
  </si>
  <si>
    <t>2.4</t>
  </si>
  <si>
    <t>2.5</t>
  </si>
  <si>
    <t>3.1</t>
  </si>
  <si>
    <t>4.1</t>
  </si>
  <si>
    <t>TOTAL GERAL DA OBRA</t>
  </si>
  <si>
    <t>( X  )</t>
  </si>
  <si>
    <t>FORNECIMENTO E COLOCAÇÃO DE PLACA DE OBRA EM CHAPA GALVANIZADA (3,00 X 1,5 0 M) - EM CHAPA GALVANIZADA 0,26 AFIXADAS COM REBITES 540 E PARAFUSOS 3/8, EM ESTRUTURA METÁLICA VIGA U 2" ENRIJECIDA COM METALON 20 X 20, SUPORTE EM EUCALIPTO AUTOCLAVADO PINTADAS</t>
  </si>
  <si>
    <t>TER-ESC-035</t>
  </si>
  <si>
    <t>ESCAVAÇÃO MANUAL DE VALAS H &lt;= 1,50 M</t>
  </si>
  <si>
    <t>TER-API-005</t>
  </si>
  <si>
    <t>APILOAMENTO DO FUNDO DE VALAS COM SOQUETE</t>
  </si>
  <si>
    <t>ARM-AÇO-020</t>
  </si>
  <si>
    <t>4.2</t>
  </si>
  <si>
    <t>PLU-CAL-015</t>
  </si>
  <si>
    <t>PLU-RUF-015</t>
  </si>
  <si>
    <t>CALHA DE CHAPA GALVANIZADA Nº. 22 GSG, DESENVOLVIMENTO = 50 CM</t>
  </si>
  <si>
    <t>ÁGUAS PLUVIAIS</t>
  </si>
  <si>
    <t>5.2</t>
  </si>
  <si>
    <t>PIS-CON-005</t>
  </si>
  <si>
    <t>SOL-ARD-005</t>
  </si>
  <si>
    <t>6.1</t>
  </si>
  <si>
    <t>PISOS</t>
  </si>
  <si>
    <t>ALV-TIJ-030</t>
  </si>
  <si>
    <t>7.1</t>
  </si>
  <si>
    <t>ALVENARIA DE VEDAÇÃO COM TIJOLO CERÂMICO FURADO, ESP. 14CM, PARA REVESTIMENTO, INCLUSIVE ARGAMASSA PARA ASSENTAMENTO</t>
  </si>
  <si>
    <t>8.1</t>
  </si>
  <si>
    <t>8.2</t>
  </si>
  <si>
    <t>9.1</t>
  </si>
  <si>
    <t>ESQ-POR-050</t>
  </si>
  <si>
    <t>9.2</t>
  </si>
  <si>
    <t>9.3</t>
  </si>
  <si>
    <t>9.4</t>
  </si>
  <si>
    <t>10.1</t>
  </si>
  <si>
    <t>REV-CHA-005</t>
  </si>
  <si>
    <t>REV-EMB-005</t>
  </si>
  <si>
    <t>REV-REB-005</t>
  </si>
  <si>
    <t>CHAPISCO COM ARGAMASSA, TRAÇO 1:3 (CIMENTO E AREIA), ESP. 5MM, APLICADO EM ALVENARIA/ESTRUTURA DE CONCRETO COM COLHER, PREPARO MECÂNICO</t>
  </si>
  <si>
    <t>REVESTIMENTOS</t>
  </si>
  <si>
    <t>PIN-LAT-005</t>
  </si>
  <si>
    <t>11.1</t>
  </si>
  <si>
    <t>11.3</t>
  </si>
  <si>
    <t>PINTURA LÁTEX (PVA) EM PAREDE, DUAS (2) DEMÃOS, EXCLUSIVE SELADOR ACRÍLICO E MASSA ACRÍLICA/CORRIDA (PVA)</t>
  </si>
  <si>
    <t>PINTURA</t>
  </si>
  <si>
    <t>INST-ESG-005</t>
  </si>
  <si>
    <t>INST-AGU-005</t>
  </si>
  <si>
    <t>PONTO DE ESGOTO, INCLUINDO TUBO DE PVC RÍGIDO SOLDÁVEL DE 40 MM E CONEXÕES (LAVATÓRIOS, MICTÓRIOS, RALOS SIFONADOS, ETC.)</t>
  </si>
  <si>
    <t>INST-LUZ-005</t>
  </si>
  <si>
    <t>INST-TOM-005</t>
  </si>
  <si>
    <t>PONTO DE LUZ EMBUTIDO, INCLUINDO ELETRODUTO DE PVC RÍGIDO E CAIXA COM ESPELHO (POR UNIDADE)</t>
  </si>
  <si>
    <t>LIM-GER-005</t>
  </si>
  <si>
    <t>LIMPEZA GERAL</t>
  </si>
  <si>
    <t>PONTO DE TOMADA DE EMBUTIR, INCLUINDO ELETRODUTO DE PVC RÍGIDO E CAIXA COM ESPELHO</t>
  </si>
  <si>
    <t>PONTO DE ÁGUA FRIA EMBUTIDO, INCLUINDO TUBO DE PVC RÍGIDO SOLDÁVEL E CONEXÕES</t>
  </si>
  <si>
    <t>REBOCO COM ARGAMASSA, TRAÇO 1:7 (CIMENTO E AREIA), ESP. 20MM, APLICAÇÃO MANUAL, PREPARO MECÂNICO</t>
  </si>
  <si>
    <t>EMBOÇO COM ARGAMASSA, TRAÇO 1:6 (CIMENTO E AREIA), ESP. 20MM, APLICAÇÃO MANUAL, PREPARO MECÂNICO</t>
  </si>
  <si>
    <t>PORTA DE ABRIR, MADEIRA DE LEI PRANCHETA PARA PINTURA COMPLETA 80 X 210 CM,COM FERRAGENS EM FERRO LATONADO</t>
  </si>
  <si>
    <t>SOLEIRA DE ARDÓSIA E = 2 CM</t>
  </si>
  <si>
    <t>CONTRAPISO DESEMPENADO COM ARGAMASSA, TRAÇO 1:3 (CIMENTO E AREIA), ESP. 20MM</t>
  </si>
  <si>
    <t>RUFO E CONTRA-RUFO DE CHAPA GALVANIZADA Nº. 24, DESENVOLVIMENTO = 25 CM</t>
  </si>
  <si>
    <t>CORTE, DOBRA E MONTAGEM DE AÇO CA-50/60</t>
  </si>
  <si>
    <t>PONTO DE INTERRUPTOR, INCLUINDO ELETRODUTO DE PVC RÍGIDO E CAIXA COM ESPELHO</t>
  </si>
  <si>
    <t>INST-INT-005</t>
  </si>
  <si>
    <t>FORNECIMENTO DE CONCRETO ESTRUTURAL, PREPARADO EM OBRA COM BETONEIRA, COM FCK 30 MPA, INCLUSIVE LANÇAMENTO, ADENSAMENTO E ACABAMENTO (FUNDAÇÃO)</t>
  </si>
  <si>
    <t>FUN-CON-055</t>
  </si>
  <si>
    <t>4.3</t>
  </si>
  <si>
    <t>5.4</t>
  </si>
  <si>
    <t>7.2</t>
  </si>
  <si>
    <t>8.3</t>
  </si>
  <si>
    <t>ISS = 3%</t>
  </si>
  <si>
    <t>PRAZO DE EXECUÇÃO: 06 Meses</t>
  </si>
  <si>
    <t>PREFEITURA: Prefeitura Municipal de Rodeiro</t>
  </si>
  <si>
    <t>OBRA:  Ampliação de Creche</t>
  </si>
  <si>
    <t>LOCAL: Rua Antônio Ribeiro da Rocha - Rodeiro/MG</t>
  </si>
  <si>
    <t>REGIÃO/MÊS DE REFERÊNCIA: Região Leste - c/ Desoneração - Agosto/2019</t>
  </si>
  <si>
    <t>DATA: 28/11/2019</t>
  </si>
  <si>
    <t>________________________________________</t>
  </si>
  <si>
    <t>Germano Reis Coelho</t>
  </si>
  <si>
    <t>Engenheiro Civil</t>
  </si>
  <si>
    <t>CREA MG-145.642/D</t>
  </si>
  <si>
    <t>Luiz Antônio Medeiros</t>
  </si>
  <si>
    <t>Prefeito Municipal</t>
  </si>
  <si>
    <t>VERGA EM CONCRETO ESTRUTURAL PARA VÃOS ACIMA DE 150CM, PREPARADO EM OBRA COM BETONEIRA, CONTROLE "A", COM FCK 20 MPA, MOLDADA IN LOCO, INCLUSIVE ARMAÇÃO</t>
  </si>
  <si>
    <t>-</t>
  </si>
  <si>
    <t>LIMPEZA FINAL PARA ENTREGA DA OBRA</t>
  </si>
  <si>
    <t>COB-TEL-050</t>
  </si>
  <si>
    <t>COBERTURA EM TELHA METÁLICA GALVANIZADA TRAPEZOIDAL, TIPO DUPLA TERMOACÚSTICA COM DUAS FACES TRAPEZOIDAIS, ESP. 0,43MM, PREENCHIMENTO EM POLIESTIRENO EXPANDIDO/ISOPOR COM ESP. 30MM, ACABAMENTO NATURAL, INCLUSIVE ACESSÓRIOS PARA FIXAÇÃO, FORNECIMENTO E INSTALAÇÃO</t>
  </si>
  <si>
    <t>M2</t>
  </si>
  <si>
    <t>M</t>
  </si>
  <si>
    <t>M3</t>
  </si>
  <si>
    <t>KG</t>
  </si>
  <si>
    <t>UN</t>
  </si>
  <si>
    <t>FORNECIMENTO E ASSENTAMENTO DE JANELA DE ALUMÍNIO, LINHA SUPREMA ACABAMENTO ANODIZADO, TIPO CORRER COM CONTRAMARCO, INCLUSIVE FORNECIMENTO DE VIDRO LISO DE 4MM, FERRAGENS E ACESSÓRIOS</t>
  </si>
  <si>
    <t>SER-JAN-030</t>
  </si>
  <si>
    <t>FORNECIMENTO E ASSENTAMENTO DE JANELA DE ALUMÍNIO, LINHA SUPREMA ACABAMENTO ANODIZADO, TIPO BASCULA COM CONTRAMARCO, INCLUSIVE FORNECIMENTO DE VIDRO LISO DE 4MM, FERRAGENS E ACESSÓRIOS</t>
  </si>
  <si>
    <t>SER-JAN-025</t>
  </si>
  <si>
    <t>URB-PAS-006</t>
  </si>
  <si>
    <t>PASSEIOS DE CONCRETO E = 6 CM, FCK = 10 MPA, JUNTA SECA</t>
  </si>
  <si>
    <t>ESQUADRIAS</t>
  </si>
  <si>
    <t>INSTALAÇÕES HIDROSSANITÁRIAS</t>
  </si>
  <si>
    <t>TANQUE DE MÁRMORE SINTÉTICO DUPLO, CAPACIDADE 37 LITROS, INCLUSIVE ACESSÓRIOS DE FIXAÇÃO, VÁLVULA DE ESCOAMENTO DE METAL COM ACABAMENTO CROMADO, SIFÃO DE METAL TIPO COPO COM ACABAMENTO CROMADO, FORNECIMENTO E INSTALAÇÃO, EXCLUSIVE TORNEIRA</t>
  </si>
  <si>
    <t>TORNEIRA METÁLICA PARA TANQUE, ACABAMENTO CROMADO, INCLUSIVE ENGATE FLEXÍVEL METÁLICO, FORNECIMENTO E INSTALAÇÃO</t>
  </si>
  <si>
    <t>MET-TOR-040</t>
  </si>
  <si>
    <t>INSTALAÇÕES ELÉTRICAS</t>
  </si>
  <si>
    <t>CONTRAVERGA EM CONCRETO ESTRUTURAL PARA VÃOS ACIMA DE 150CM, PREPARADO EM OBRA COM BETONEIRA, CONTROLE "A", COM FCK 20 MPA, MOLDADA IN LOCO, INCLUSIVE ARMAÇÃO</t>
  </si>
  <si>
    <t>VERGAS E CONTRAVERGAS</t>
  </si>
  <si>
    <t>REVESTIMENTO COM CERÂMICA APLICADO EM PAREDE, ACABAMENTO ESMALTADO, AMBIENTE INTERNO/EXTERNO, PADRÃO EXTRA, DIMENSÃO DA PEÇA ATÉ 2025 CM2, PEI III, ASSENTAMENTO COM ARGAMASSA INDUSTRIALIZADA, INCLUSIVE REJUNTAMENTO</t>
  </si>
  <si>
    <t>LUMINÁRIA COMERCIAL CHANFRADA DE SOBREPOR COMPLETA, PARA DUAS (2) LÂMPADAS TUBULARES LED 2X9W-ØT8, TEMPERATURA DA COR 6500K, FORNECIMENTO E INSTALAÇÃO, INCLUSIVE BASE E LÂMPADAS</t>
  </si>
  <si>
    <t>CHAPIM METÁLICO, COM PINGADEIRA, CHAPA GALVANIZADA Nº 24, DESENVOLVIMENTO = 35 CM</t>
  </si>
  <si>
    <t>PLU-CHA-005</t>
  </si>
  <si>
    <t>COBERTURA</t>
  </si>
  <si>
    <t>ALVENARIA</t>
  </si>
  <si>
    <t>FUNDAÇÃO E ESTRUTURA DE CONCRETO</t>
  </si>
  <si>
    <t>ESTACA PRÉ-MOLDADA DE CONCRETO ARMADO CRAVADA 20 X 20 CM/50T</t>
  </si>
  <si>
    <t>FUN-PRE-040</t>
  </si>
  <si>
    <t>10.2</t>
  </si>
  <si>
    <t>PIN-SEL-005</t>
  </si>
  <si>
    <t>PREPARAÇÃO PARA EMASSAMENTO OU PINTURA (LÁTEX/ACRÍLICA) EM PAREDE, INCLUSIVE UMA (1) DEMÃO DE SELADOR ACRÍLICO</t>
  </si>
  <si>
    <t>12.1</t>
  </si>
  <si>
    <t>13.1</t>
  </si>
  <si>
    <t>12.2</t>
  </si>
  <si>
    <t>12.3</t>
  </si>
  <si>
    <t>12.4</t>
  </si>
  <si>
    <t>11.2</t>
  </si>
  <si>
    <t>11.4</t>
  </si>
  <si>
    <t>5.1</t>
  </si>
  <si>
    <t>5.3</t>
  </si>
  <si>
    <t>FORMA E DESFORMA DE TÁBUA E SARRAFO, REAPROVEITAMENTO (3X) (FUNDAÇÃO)</t>
  </si>
  <si>
    <t>FUN-FOR-005</t>
  </si>
  <si>
    <t>CONCRETO ESTRUTURAL, PREPARADO EM OBRA COM BETONEIRA, CONTROLE "A", COM FCK 20 MPA, BRITA Nº (1), CONSISTÊNCIA PARA VIBRAÇÃO (FABRICAÇÃO)</t>
  </si>
  <si>
    <t>2.6</t>
  </si>
  <si>
    <t>2.7</t>
  </si>
  <si>
    <t>EST-FOR-025</t>
  </si>
  <si>
    <t>FORMA E DESFORMA DE COMPENSADO PLASTIFICADO, ESP. 12MM, REAPROVEITAMENTO (5X), EXCLUSIVE ESCORAMENTO</t>
  </si>
  <si>
    <t>MOBILIZAÇÃO E DESMOBILIZAÇÃO DE EQUIPAMENTO PARA ESTACA CRAVADA DMT ATÉ 50 KM</t>
  </si>
  <si>
    <t>FUN-PRE-005</t>
  </si>
  <si>
    <t>VB</t>
  </si>
  <si>
    <t>FOR-GES-015</t>
  </si>
  <si>
    <t>FORRO DE GESSO EM PLACAS ACARTONADAS - FGA</t>
  </si>
  <si>
    <t>RODAPÉ COM REVESTIMENTO EM CERÂMICA ESMALTADA COMERCIAL, ALTURA 10CM, PEI IV, ASSENTAMENTO COM ARGAMASSA INDUSTRIALIZADA, INCLUSIVE REJUNTAMENTO</t>
  </si>
  <si>
    <t>ROD-CER-005</t>
  </si>
  <si>
    <t>5.5</t>
  </si>
  <si>
    <t>REVESTIMENTO COM CERÂMICA APLICADO EM PISO, ACABAMENTO ESMALTADO, AMBIENTE INTERNO, PADRÃO EXTRA, DIMENSÃO DA PEÇA ATÉ 2025 CM2, PEI V, ASSENTAMENTO COM ARGAMASSA INDUSTRIALIZADA, INCLUSIVE REJUNTAMENTO</t>
  </si>
  <si>
    <t>PIS-CER-010</t>
  </si>
  <si>
    <t>1.2</t>
  </si>
  <si>
    <t>BASE, COM MISTURA EM USINA, 80 % DE SOLO E 20 % DE ARGILA, COMPACTADA NA ENERGIA DO PROCTOR INTERMODIFICADO (EXECUÇÃO, INCLUINDO ESCAVAÇÃO E CARGA DO MATERIAL DE JAZIDA; CARGA E DESCARGA, ESPALHAMENTO E COMPACTAÇÃO DA MISTURA; EXCLUI ESCAVAÇÃO E CARGA DA ARGILA, AQUISIÇÃO DO SOLO E TRANSPORTE DOS MATERIAIS E DA MISTURA)</t>
  </si>
  <si>
    <t>2.8</t>
  </si>
  <si>
    <t>2.9</t>
  </si>
  <si>
    <t>9.5</t>
  </si>
  <si>
    <t>PEI-ARD-006</t>
  </si>
  <si>
    <t>PEITORIL DE ARDÓSIA E = 2 CM</t>
  </si>
  <si>
    <t>6.2</t>
  </si>
  <si>
    <t>MUR-BLO-005</t>
  </si>
  <si>
    <t>MURO DIVISÓRIO BLOCO DE CONCRETO APARENTE E = 15 CM, H = 1,80 M, INCLUSIVE SAPATA DE CONCRETO ARMADO FCK = 15 MPA, 50 X 55 CM</t>
  </si>
  <si>
    <t>CRONOGRAMA FÍSICO-FINANCEIRO</t>
  </si>
  <si>
    <t xml:space="preserve">VALOR DO CONVÊNIO:  </t>
  </si>
  <si>
    <t>PRAZO DA OBRA: 06 Meses</t>
  </si>
  <si>
    <t>ETAPAS/DESCRIÇÃO</t>
  </si>
  <si>
    <t>FÍSICO/ FINANCEIRO</t>
  </si>
  <si>
    <t>TOTAL  ETAPAS</t>
  </si>
  <si>
    <t>MÊS 1</t>
  </si>
  <si>
    <t>MÊS 2</t>
  </si>
  <si>
    <t>MÊS 3</t>
  </si>
  <si>
    <t>MÊS 4</t>
  </si>
  <si>
    <t>MÊS 5</t>
  </si>
  <si>
    <t>MÊS 6</t>
  </si>
  <si>
    <t>Físico %</t>
  </si>
  <si>
    <t>Financeiro</t>
  </si>
  <si>
    <t>TOTAL</t>
  </si>
  <si>
    <t xml:space="preserve"> </t>
  </si>
  <si>
    <t>Observações:</t>
  </si>
  <si>
    <t>PREFEITURA:  Prefeitura Municipal de Rodeiro</t>
  </si>
  <si>
    <t>OBRA: Ampliação de Creche</t>
  </si>
  <si>
    <t>Engenheiro Civl</t>
  </si>
  <si>
    <t>ALVENARIAS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</si>
</sst>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  <numFmt numFmtId="177" formatCode="&quot;R$ &quot;#,##0.00"/>
    <numFmt numFmtId="178" formatCode="&quot;R$&quot;\ #,##0.00"/>
    <numFmt numFmtId="179" formatCode="[$-416]dddd\,\ d&quot; de &quot;mmmm&quot; de &quot;yyyy"/>
  </numFmts>
  <fonts count="56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17"/>
      <name val="Arial"/>
      <family val="2"/>
    </font>
    <font>
      <sz val="11"/>
      <color indexed="8"/>
      <name val="Arial"/>
      <family val="0"/>
    </font>
    <font>
      <b/>
      <sz val="11"/>
      <color indexed="8"/>
      <name val="Bookman Old Style"/>
      <family val="0"/>
    </font>
    <font>
      <sz val="11"/>
      <color indexed="8"/>
      <name val="Bookman Old Styl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0"/>
      <color rgb="FF4F622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thin"/>
      <bottom style="medium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/>
      <bottom/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/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0" fontId="7" fillId="0" borderId="19" xfId="51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8" fillId="0" borderId="18" xfId="62" applyNumberFormat="1" applyFont="1" applyFill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2" fontId="4" fillId="0" borderId="10" xfId="62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70" fontId="8" fillId="0" borderId="18" xfId="47" applyFont="1" applyBorder="1" applyAlignment="1">
      <alignment horizontal="center" vertical="center" wrapText="1"/>
    </xf>
    <xf numFmtId="170" fontId="6" fillId="0" borderId="10" xfId="47" applyFont="1" applyBorder="1" applyAlignment="1">
      <alignment horizontal="center" vertical="center" wrapText="1"/>
    </xf>
    <xf numFmtId="170" fontId="6" fillId="0" borderId="22" xfId="47" applyFont="1" applyBorder="1" applyAlignment="1">
      <alignment horizontal="center" vertical="center" wrapText="1"/>
    </xf>
    <xf numFmtId="170" fontId="1" fillId="0" borderId="10" xfId="47" applyFont="1" applyBorder="1" applyAlignment="1">
      <alignment horizontal="center" vertical="center" wrapText="1"/>
    </xf>
    <xf numFmtId="170" fontId="1" fillId="0" borderId="22" xfId="47" applyFont="1" applyBorder="1" applyAlignment="1">
      <alignment horizontal="center" vertical="center" wrapText="1"/>
    </xf>
    <xf numFmtId="170" fontId="4" fillId="0" borderId="10" xfId="47" applyFont="1" applyBorder="1" applyAlignment="1">
      <alignment horizontal="center" vertical="center" wrapText="1"/>
    </xf>
    <xf numFmtId="170" fontId="8" fillId="0" borderId="23" xfId="47" applyFont="1" applyBorder="1" applyAlignment="1">
      <alignment horizontal="center" vertical="center" wrapText="1"/>
    </xf>
    <xf numFmtId="170" fontId="6" fillId="0" borderId="18" xfId="47" applyFont="1" applyBorder="1" applyAlignment="1">
      <alignment horizontal="center" vertical="center" wrapText="1"/>
    </xf>
    <xf numFmtId="170" fontId="6" fillId="0" borderId="24" xfId="47" applyFont="1" applyBorder="1" applyAlignment="1">
      <alignment horizontal="center" vertical="center" wrapText="1"/>
    </xf>
    <xf numFmtId="2" fontId="8" fillId="0" borderId="10" xfId="62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170" fontId="8" fillId="0" borderId="10" xfId="47" applyFont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 wrapText="1"/>
    </xf>
    <xf numFmtId="0" fontId="12" fillId="33" borderId="25" xfId="0" applyFont="1" applyFill="1" applyBorder="1" applyAlignment="1">
      <alignment vertical="center"/>
    </xf>
    <xf numFmtId="0" fontId="12" fillId="33" borderId="26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12" fillId="33" borderId="27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/>
    </xf>
    <xf numFmtId="49" fontId="13" fillId="33" borderId="30" xfId="0" applyNumberFormat="1" applyFont="1" applyFill="1" applyBorder="1" applyAlignment="1">
      <alignment horizontal="center" vertical="center" wrapText="1"/>
    </xf>
    <xf numFmtId="10" fontId="14" fillId="33" borderId="30" xfId="0" applyNumberFormat="1" applyFont="1" applyFill="1" applyBorder="1" applyAlignment="1">
      <alignment vertical="center" wrapText="1"/>
    </xf>
    <xf numFmtId="10" fontId="15" fillId="33" borderId="30" xfId="0" applyNumberFormat="1" applyFont="1" applyFill="1" applyBorder="1" applyAlignment="1">
      <alignment vertical="center" wrapText="1"/>
    </xf>
    <xf numFmtId="10" fontId="13" fillId="33" borderId="30" xfId="0" applyNumberFormat="1" applyFont="1" applyFill="1" applyBorder="1" applyAlignment="1">
      <alignment vertical="center" wrapText="1"/>
    </xf>
    <xf numFmtId="10" fontId="16" fillId="33" borderId="30" xfId="62" applyNumberFormat="1" applyFont="1" applyFill="1" applyBorder="1" applyAlignment="1">
      <alignment vertical="center" wrapText="1"/>
    </xf>
    <xf numFmtId="10" fontId="16" fillId="33" borderId="30" xfId="0" applyNumberFormat="1" applyFont="1" applyFill="1" applyBorder="1" applyAlignment="1">
      <alignment vertical="center" wrapText="1"/>
    </xf>
    <xf numFmtId="10" fontId="16" fillId="33" borderId="31" xfId="0" applyNumberFormat="1" applyFont="1" applyFill="1" applyBorder="1" applyAlignment="1">
      <alignment vertical="center" wrapText="1"/>
    </xf>
    <xf numFmtId="49" fontId="13" fillId="33" borderId="32" xfId="0" applyNumberFormat="1" applyFont="1" applyFill="1" applyBorder="1" applyAlignment="1">
      <alignment horizontal="center" vertical="center" wrapText="1"/>
    </xf>
    <xf numFmtId="170" fontId="13" fillId="33" borderId="32" xfId="47" applyFont="1" applyFill="1" applyBorder="1" applyAlignment="1">
      <alignment vertical="center" wrapText="1"/>
    </xf>
    <xf numFmtId="178" fontId="13" fillId="33" borderId="32" xfId="0" applyNumberFormat="1" applyFont="1" applyFill="1" applyBorder="1" applyAlignment="1">
      <alignment vertical="center" wrapText="1"/>
    </xf>
    <xf numFmtId="178" fontId="13" fillId="33" borderId="33" xfId="0" applyNumberFormat="1" applyFont="1" applyFill="1" applyBorder="1" applyAlignment="1">
      <alignment vertical="center" wrapText="1"/>
    </xf>
    <xf numFmtId="10" fontId="14" fillId="33" borderId="30" xfId="62" applyNumberFormat="1" applyFont="1" applyFill="1" applyBorder="1" applyAlignment="1">
      <alignment vertical="center" wrapText="1"/>
    </xf>
    <xf numFmtId="10" fontId="14" fillId="33" borderId="31" xfId="0" applyNumberFormat="1" applyFont="1" applyFill="1" applyBorder="1" applyAlignment="1">
      <alignment vertical="center" wrapText="1"/>
    </xf>
    <xf numFmtId="4" fontId="13" fillId="33" borderId="30" xfId="0" applyNumberFormat="1" applyFont="1" applyFill="1" applyBorder="1" applyAlignment="1">
      <alignment vertical="center" wrapText="1"/>
    </xf>
    <xf numFmtId="4" fontId="13" fillId="33" borderId="31" xfId="0" applyNumberFormat="1" applyFont="1" applyFill="1" applyBorder="1" applyAlignment="1">
      <alignment vertical="center" wrapText="1"/>
    </xf>
    <xf numFmtId="178" fontId="13" fillId="33" borderId="30" xfId="0" applyNumberFormat="1" applyFont="1" applyFill="1" applyBorder="1" applyAlignment="1">
      <alignment vertical="center" wrapText="1"/>
    </xf>
    <xf numFmtId="178" fontId="13" fillId="33" borderId="31" xfId="0" applyNumberFormat="1" applyFont="1" applyFill="1" applyBorder="1" applyAlignment="1">
      <alignment vertical="center" wrapText="1"/>
    </xf>
    <xf numFmtId="10" fontId="15" fillId="33" borderId="31" xfId="0" applyNumberFormat="1" applyFont="1" applyFill="1" applyBorder="1" applyAlignment="1">
      <alignment vertical="center" wrapText="1"/>
    </xf>
    <xf numFmtId="49" fontId="15" fillId="33" borderId="34" xfId="0" applyNumberFormat="1" applyFont="1" applyFill="1" applyBorder="1" applyAlignment="1">
      <alignment horizontal="center" vertical="center" wrapText="1"/>
    </xf>
    <xf numFmtId="10" fontId="15" fillId="33" borderId="34" xfId="0" applyNumberFormat="1" applyFont="1" applyFill="1" applyBorder="1" applyAlignment="1">
      <alignment vertical="center" wrapText="1"/>
    </xf>
    <xf numFmtId="10" fontId="15" fillId="33" borderId="35" xfId="0" applyNumberFormat="1" applyFont="1" applyFill="1" applyBorder="1" applyAlignment="1">
      <alignment vertical="center" wrapText="1"/>
    </xf>
    <xf numFmtId="49" fontId="15" fillId="33" borderId="36" xfId="0" applyNumberFormat="1" applyFont="1" applyFill="1" applyBorder="1" applyAlignment="1">
      <alignment horizontal="center" vertical="center" wrapText="1"/>
    </xf>
    <xf numFmtId="177" fontId="15" fillId="33" borderId="36" xfId="0" applyNumberFormat="1" applyFont="1" applyFill="1" applyBorder="1" applyAlignment="1">
      <alignment vertical="center" wrapText="1"/>
    </xf>
    <xf numFmtId="177" fontId="15" fillId="33" borderId="37" xfId="0" applyNumberFormat="1" applyFont="1" applyFill="1" applyBorder="1" applyAlignment="1">
      <alignment vertical="center" wrapText="1"/>
    </xf>
    <xf numFmtId="0" fontId="0" fillId="33" borderId="38" xfId="0" applyFont="1" applyFill="1" applyBorder="1" applyAlignment="1">
      <alignment vertical="center"/>
    </xf>
    <xf numFmtId="0" fontId="0" fillId="33" borderId="39" xfId="0" applyFont="1" applyFill="1" applyBorder="1" applyAlignment="1">
      <alignment vertical="center"/>
    </xf>
    <xf numFmtId="0" fontId="12" fillId="33" borderId="4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41" xfId="0" applyFont="1" applyFill="1" applyBorder="1" applyAlignment="1">
      <alignment vertical="center"/>
    </xf>
    <xf numFmtId="0" fontId="0" fillId="33" borderId="40" xfId="0" applyFont="1" applyFill="1" applyBorder="1" applyAlignment="1">
      <alignment vertical="center"/>
    </xf>
    <xf numFmtId="0" fontId="0" fillId="33" borderId="42" xfId="0" applyFont="1" applyFill="1" applyBorder="1" applyAlignment="1">
      <alignment vertical="center"/>
    </xf>
    <xf numFmtId="0" fontId="0" fillId="33" borderId="43" xfId="0" applyFont="1" applyFill="1" applyBorder="1" applyAlignment="1">
      <alignment vertical="center"/>
    </xf>
    <xf numFmtId="0" fontId="0" fillId="33" borderId="44" xfId="0" applyFont="1" applyFill="1" applyBorder="1" applyAlignment="1">
      <alignment vertical="center"/>
    </xf>
    <xf numFmtId="0" fontId="0" fillId="33" borderId="0" xfId="0" applyFill="1" applyAlignment="1">
      <alignment vertical="center" wrapText="1"/>
    </xf>
    <xf numFmtId="0" fontId="13" fillId="33" borderId="32" xfId="0" applyNumberFormat="1" applyFont="1" applyFill="1" applyBorder="1" applyAlignment="1">
      <alignment vertical="center" wrapText="1"/>
    </xf>
    <xf numFmtId="0" fontId="12" fillId="33" borderId="45" xfId="0" applyFont="1" applyFill="1" applyBorder="1" applyAlignment="1">
      <alignment vertical="center"/>
    </xf>
    <xf numFmtId="0" fontId="7" fillId="0" borderId="46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49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51" xfId="0" applyFont="1" applyFill="1" applyBorder="1" applyAlignment="1">
      <alignment horizontal="left" vertical="center"/>
    </xf>
    <xf numFmtId="0" fontId="8" fillId="0" borderId="52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0" fontId="8" fillId="0" borderId="53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8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left" vertical="center"/>
    </xf>
    <xf numFmtId="0" fontId="7" fillId="0" borderId="57" xfId="0" applyFont="1" applyFill="1" applyBorder="1" applyAlignment="1">
      <alignment horizontal="left" vertical="center"/>
    </xf>
    <xf numFmtId="0" fontId="7" fillId="0" borderId="58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59" xfId="0" applyFont="1" applyFill="1" applyBorder="1" applyAlignment="1">
      <alignment horizontal="left" vertical="center"/>
    </xf>
    <xf numFmtId="0" fontId="7" fillId="0" borderId="5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12" fillId="0" borderId="6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33" borderId="55" xfId="0" applyFont="1" applyFill="1" applyBorder="1" applyAlignment="1">
      <alignment horizontal="center" wrapText="1"/>
    </xf>
    <xf numFmtId="0" fontId="12" fillId="33" borderId="38" xfId="0" applyFont="1" applyFill="1" applyBorder="1" applyAlignment="1">
      <alignment horizontal="center" wrapText="1"/>
    </xf>
    <xf numFmtId="0" fontId="12" fillId="33" borderId="62" xfId="0" applyFont="1" applyFill="1" applyBorder="1" applyAlignment="1">
      <alignment horizontal="center" wrapText="1"/>
    </xf>
    <xf numFmtId="0" fontId="0" fillId="33" borderId="0" xfId="0" applyFont="1" applyFill="1" applyAlignment="1">
      <alignment horizontal="center"/>
    </xf>
    <xf numFmtId="0" fontId="0" fillId="33" borderId="61" xfId="0" applyFont="1" applyFill="1" applyBorder="1" applyAlignment="1">
      <alignment horizontal="center"/>
    </xf>
    <xf numFmtId="0" fontId="12" fillId="33" borderId="63" xfId="0" applyFont="1" applyFill="1" applyBorder="1" applyAlignment="1">
      <alignment horizontal="center" vertical="center" wrapText="1"/>
    </xf>
    <xf numFmtId="0" fontId="12" fillId="33" borderId="64" xfId="0" applyFont="1" applyFill="1" applyBorder="1" applyAlignment="1">
      <alignment horizontal="center" vertical="center" wrapText="1"/>
    </xf>
    <xf numFmtId="0" fontId="12" fillId="33" borderId="46" xfId="0" applyFont="1" applyFill="1" applyBorder="1" applyAlignment="1">
      <alignment horizontal="center" vertical="center" wrapText="1"/>
    </xf>
    <xf numFmtId="0" fontId="12" fillId="33" borderId="49" xfId="0" applyFont="1" applyFill="1" applyBorder="1" applyAlignment="1">
      <alignment horizontal="center" vertical="center" wrapText="1"/>
    </xf>
    <xf numFmtId="0" fontId="12" fillId="33" borderId="43" xfId="0" applyFont="1" applyFill="1" applyBorder="1" applyAlignment="1">
      <alignment horizontal="center" vertical="center" wrapText="1"/>
    </xf>
    <xf numFmtId="0" fontId="12" fillId="33" borderId="47" xfId="0" applyFont="1" applyFill="1" applyBorder="1" applyAlignment="1">
      <alignment horizontal="center" vertical="center" wrapText="1"/>
    </xf>
    <xf numFmtId="0" fontId="12" fillId="33" borderId="49" xfId="0" applyFont="1" applyFill="1" applyBorder="1" applyAlignment="1">
      <alignment horizontal="center" vertical="center"/>
    </xf>
    <xf numFmtId="0" fontId="12" fillId="33" borderId="43" xfId="0" applyFont="1" applyFill="1" applyBorder="1" applyAlignment="1">
      <alignment horizontal="center" vertical="center"/>
    </xf>
    <xf numFmtId="0" fontId="12" fillId="33" borderId="47" xfId="0" applyFont="1" applyFill="1" applyBorder="1" applyAlignment="1">
      <alignment horizontal="center" vertical="center"/>
    </xf>
    <xf numFmtId="0" fontId="12" fillId="33" borderId="6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61" xfId="0" applyFont="1" applyFill="1" applyBorder="1" applyAlignment="1">
      <alignment horizontal="center" vertical="center"/>
    </xf>
    <xf numFmtId="0" fontId="12" fillId="33" borderId="65" xfId="0" applyFont="1" applyFill="1" applyBorder="1" applyAlignment="1">
      <alignment horizontal="center" vertical="center" wrapText="1"/>
    </xf>
    <xf numFmtId="0" fontId="12" fillId="33" borderId="66" xfId="0" applyFont="1" applyFill="1" applyBorder="1" applyAlignment="1">
      <alignment horizontal="center" vertical="center" wrapText="1"/>
    </xf>
    <xf numFmtId="49" fontId="12" fillId="33" borderId="67" xfId="0" applyNumberFormat="1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left" vertical="center" wrapText="1"/>
    </xf>
    <xf numFmtId="49" fontId="12" fillId="33" borderId="68" xfId="0" applyNumberFormat="1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left" vertical="center" wrapText="1"/>
    </xf>
    <xf numFmtId="0" fontId="55" fillId="0" borderId="0" xfId="0" applyFont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2" fillId="33" borderId="58" xfId="0" applyFont="1" applyFill="1" applyBorder="1" applyAlignment="1">
      <alignment horizontal="left" vertical="center"/>
    </xf>
    <xf numFmtId="0" fontId="12" fillId="33" borderId="26" xfId="0" applyFont="1" applyFill="1" applyBorder="1" applyAlignment="1">
      <alignment horizontal="left" vertical="center"/>
    </xf>
    <xf numFmtId="0" fontId="12" fillId="33" borderId="59" xfId="0" applyFont="1" applyFill="1" applyBorder="1" applyAlignment="1">
      <alignment horizontal="left" vertical="center"/>
    </xf>
    <xf numFmtId="177" fontId="12" fillId="33" borderId="26" xfId="0" applyNumberFormat="1" applyFont="1" applyFill="1" applyBorder="1" applyAlignment="1">
      <alignment horizontal="left" vertical="center"/>
    </xf>
    <xf numFmtId="177" fontId="12" fillId="33" borderId="59" xfId="0" applyNumberFormat="1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12" fillId="33" borderId="29" xfId="0" applyFont="1" applyFill="1" applyBorder="1" applyAlignment="1">
      <alignment horizontal="left" vertical="center"/>
    </xf>
    <xf numFmtId="0" fontId="12" fillId="33" borderId="69" xfId="0" applyFont="1" applyFill="1" applyBorder="1" applyAlignment="1" quotePrefix="1">
      <alignment horizontal="left" vertical="center"/>
    </xf>
    <xf numFmtId="0" fontId="12" fillId="33" borderId="13" xfId="0" applyFont="1" applyFill="1" applyBorder="1" applyAlignment="1">
      <alignment horizontal="left" vertical="center"/>
    </xf>
    <xf numFmtId="0" fontId="12" fillId="33" borderId="70" xfId="0" applyFont="1" applyFill="1" applyBorder="1" applyAlignment="1">
      <alignment horizontal="left" vertical="center"/>
    </xf>
    <xf numFmtId="0" fontId="12" fillId="33" borderId="71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12" fillId="33" borderId="70" xfId="0" applyFont="1" applyFill="1" applyBorder="1" applyAlignment="1">
      <alignment horizontal="left" vertical="center" wrapText="1"/>
    </xf>
    <xf numFmtId="0" fontId="12" fillId="33" borderId="71" xfId="0" applyFont="1" applyFill="1" applyBorder="1" applyAlignment="1">
      <alignment horizontal="left" vertical="center"/>
    </xf>
    <xf numFmtId="0" fontId="12" fillId="33" borderId="19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66675</xdr:rowOff>
    </xdr:from>
    <xdr:to>
      <xdr:col>4</xdr:col>
      <xdr:colOff>19050</xdr:colOff>
      <xdr:row>0</xdr:row>
      <xdr:rowOff>704850</xdr:rowOff>
    </xdr:to>
    <xdr:sp>
      <xdr:nvSpPr>
        <xdr:cNvPr id="1" name="Text Box 6" hidden="1"/>
        <xdr:cNvSpPr txBox="1">
          <a:spLocks noChangeArrowheads="1"/>
        </xdr:cNvSpPr>
      </xdr:nvSpPr>
      <xdr:spPr>
        <a:xfrm>
          <a:off x="1228725" y="66675"/>
          <a:ext cx="35814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MINAS GERAIS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Governo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Superintendência de Projetos da SUBSEAM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Diretoria Técnica de Projetos</a:t>
          </a:r>
        </a:p>
      </xdr:txBody>
    </xdr:sp>
    <xdr:clientData/>
  </xdr:twoCellAnchor>
  <xdr:twoCellAnchor>
    <xdr:from>
      <xdr:col>2</xdr:col>
      <xdr:colOff>657225</xdr:colOff>
      <xdr:row>0</xdr:row>
      <xdr:rowOff>76200</xdr:rowOff>
    </xdr:from>
    <xdr:to>
      <xdr:col>2</xdr:col>
      <xdr:colOff>1200150</xdr:colOff>
      <xdr:row>0</xdr:row>
      <xdr:rowOff>752475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76200"/>
          <a:ext cx="542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1438275</xdr:colOff>
      <xdr:row>0</xdr:row>
      <xdr:rowOff>28575</xdr:rowOff>
    </xdr:from>
    <xdr:to>
      <xdr:col>5</xdr:col>
      <xdr:colOff>485775</xdr:colOff>
      <xdr:row>1</xdr:row>
      <xdr:rowOff>19050</xdr:rowOff>
    </xdr:to>
    <xdr:sp>
      <xdr:nvSpPr>
        <xdr:cNvPr id="3" name="CaixaDeTexto 1"/>
        <xdr:cNvSpPr txBox="1">
          <a:spLocks noChangeArrowheads="1"/>
        </xdr:cNvSpPr>
      </xdr:nvSpPr>
      <xdr:spPr>
        <a:xfrm>
          <a:off x="2552700" y="28575"/>
          <a:ext cx="36004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MUNICÍPIO DE RODEIRO</a:t>
          </a:r>
          <a:r>
            <a:rPr lang="en-US" cap="none" sz="11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Praça São Sebastião, 215 - Centro - Rodeiro - MG
</a:t>
          </a:r>
          <a:r>
            <a:rPr lang="en-US" cap="none" sz="11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CEP: 36.510-000   CNPJ: 18.128.256/0001-44
</a:t>
          </a:r>
          <a:r>
            <a:rPr lang="en-US" cap="none" sz="11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PABX: 32.3577-1173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3200400</xdr:colOff>
      <xdr:row>0</xdr:row>
      <xdr:rowOff>161925</xdr:rowOff>
    </xdr:from>
    <xdr:to>
      <xdr:col>2</xdr:col>
      <xdr:colOff>3743325</xdr:colOff>
      <xdr:row>2</xdr:row>
      <xdr:rowOff>114300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61925"/>
          <a:ext cx="542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3981450</xdr:colOff>
      <xdr:row>0</xdr:row>
      <xdr:rowOff>114300</xdr:rowOff>
    </xdr:from>
    <xdr:to>
      <xdr:col>6</xdr:col>
      <xdr:colOff>104775</xdr:colOff>
      <xdr:row>2</xdr:row>
      <xdr:rowOff>152400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5534025" y="114300"/>
          <a:ext cx="36004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MUNICÍPIO DE RODEIRO</a:t>
          </a:r>
          <a:r>
            <a:rPr lang="en-US" cap="none" sz="11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Praça São Sebastião, 215 - Centro - Rodeiro - MG
</a:t>
          </a:r>
          <a:r>
            <a:rPr lang="en-US" cap="none" sz="11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CEP: 36.510-000   CNPJ: 18.128.256/0001-44
</a:t>
          </a:r>
          <a:r>
            <a:rPr lang="en-US" cap="none" sz="11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PABX: 32.3577-1173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%20Convenios\Desktop\S&#193;VIO\ESTADO\CAJURI\VESTI&#193;RIO\CORRE&#199;&#213;ES\PLANILHA%20OR&#199;AMENT&#193;RIA%20DE%20CUS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camentária"/>
      <sheetName val="Planilha Orcamentaria"/>
    </sheetNames>
    <sheetDataSet>
      <sheetData sheetId="0">
        <row r="12">
          <cell r="C12" t="str">
            <v>INSTALAÇÕES INICIAIS DA OBRA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showGridLines="0" showZeros="0" tabSelected="1" zoomScaleSheetLayoutView="100" zoomScalePageLayoutView="0" workbookViewId="0" topLeftCell="A72">
      <selection activeCell="A83" sqref="A83:H83"/>
    </sheetView>
  </sheetViews>
  <sheetFormatPr defaultColWidth="9.140625" defaultRowHeight="12.75"/>
  <cols>
    <col min="1" max="1" width="5.421875" style="24" bestFit="1" customWidth="1"/>
    <col min="2" max="2" width="11.28125" style="24" bestFit="1" customWidth="1"/>
    <col min="3" max="3" width="46.00390625" style="24" bestFit="1" customWidth="1"/>
    <col min="4" max="4" width="9.140625" style="24" customWidth="1"/>
    <col min="5" max="5" width="13.140625" style="24" bestFit="1" customWidth="1"/>
    <col min="6" max="7" width="12.28125" style="24" customWidth="1"/>
    <col min="8" max="8" width="11.8515625" style="24" bestFit="1" customWidth="1"/>
    <col min="9" max="16384" width="9.140625" style="24" customWidth="1"/>
  </cols>
  <sheetData>
    <row r="1" spans="1:8" ht="60.75" customHeight="1">
      <c r="A1" s="103"/>
      <c r="B1" s="103"/>
      <c r="C1" s="103"/>
      <c r="D1" s="103"/>
      <c r="E1" s="103"/>
      <c r="F1" s="103"/>
      <c r="G1" s="103"/>
      <c r="H1" s="103"/>
    </row>
    <row r="2" spans="1:8" ht="3.75" customHeight="1" thickBot="1">
      <c r="A2" s="113"/>
      <c r="B2" s="113"/>
      <c r="C2" s="113"/>
      <c r="D2" s="113"/>
      <c r="E2" s="113"/>
      <c r="F2" s="113"/>
      <c r="G2" s="113"/>
      <c r="H2" s="113"/>
    </row>
    <row r="3" spans="1:8" ht="19.5" customHeight="1" thickBot="1">
      <c r="A3" s="107" t="s">
        <v>4</v>
      </c>
      <c r="B3" s="108"/>
      <c r="C3" s="108"/>
      <c r="D3" s="108"/>
      <c r="E3" s="108"/>
      <c r="F3" s="108"/>
      <c r="G3" s="108"/>
      <c r="H3" s="109"/>
    </row>
    <row r="4" spans="1:8" ht="3.75" customHeight="1" thickBot="1">
      <c r="A4" s="25"/>
      <c r="B4" s="25"/>
      <c r="C4" s="25"/>
      <c r="D4" s="25"/>
      <c r="E4" s="25"/>
      <c r="F4" s="25"/>
      <c r="G4" s="25"/>
      <c r="H4" s="25"/>
    </row>
    <row r="5" spans="1:8" s="22" customFormat="1" ht="19.5" customHeight="1">
      <c r="A5" s="117" t="s">
        <v>90</v>
      </c>
      <c r="B5" s="118"/>
      <c r="C5" s="118"/>
      <c r="D5" s="118"/>
      <c r="E5" s="119"/>
      <c r="F5" s="110" t="s">
        <v>88</v>
      </c>
      <c r="G5" s="111"/>
      <c r="H5" s="112"/>
    </row>
    <row r="6" spans="1:8" s="22" customFormat="1" ht="19.5" customHeight="1">
      <c r="A6" s="93" t="s">
        <v>91</v>
      </c>
      <c r="B6" s="94"/>
      <c r="C6" s="94"/>
      <c r="D6" s="94"/>
      <c r="E6" s="95"/>
      <c r="F6" s="114" t="s">
        <v>94</v>
      </c>
      <c r="G6" s="115"/>
      <c r="H6" s="116"/>
    </row>
    <row r="7" spans="1:8" s="22" customFormat="1" ht="19.5" customHeight="1">
      <c r="A7" s="120" t="s">
        <v>92</v>
      </c>
      <c r="B7" s="121"/>
      <c r="C7" s="121"/>
      <c r="D7" s="122"/>
      <c r="E7" s="104" t="s">
        <v>11</v>
      </c>
      <c r="F7" s="105"/>
      <c r="G7" s="105"/>
      <c r="H7" s="106"/>
    </row>
    <row r="8" spans="1:8" s="22" customFormat="1" ht="19.5" customHeight="1">
      <c r="A8" s="93" t="s">
        <v>93</v>
      </c>
      <c r="B8" s="94"/>
      <c r="C8" s="94"/>
      <c r="D8" s="95"/>
      <c r="E8" s="87" t="s">
        <v>8</v>
      </c>
      <c r="F8" s="85" t="s">
        <v>6</v>
      </c>
      <c r="G8" s="3" t="s">
        <v>25</v>
      </c>
      <c r="H8" s="4" t="s">
        <v>7</v>
      </c>
    </row>
    <row r="9" spans="1:8" s="22" customFormat="1" ht="19.5" customHeight="1" thickBot="1">
      <c r="A9" s="90" t="s">
        <v>89</v>
      </c>
      <c r="B9" s="91"/>
      <c r="C9" s="91"/>
      <c r="D9" s="92"/>
      <c r="E9" s="88"/>
      <c r="F9" s="86"/>
      <c r="G9" s="5" t="s">
        <v>9</v>
      </c>
      <c r="H9" s="15">
        <v>0.2984</v>
      </c>
    </row>
    <row r="10" spans="1:8" s="22" customFormat="1" ht="3.75" customHeight="1" thickBot="1">
      <c r="A10" s="100"/>
      <c r="B10" s="100"/>
      <c r="C10" s="100"/>
      <c r="D10" s="100"/>
      <c r="E10" s="100"/>
      <c r="F10" s="100"/>
      <c r="G10" s="100"/>
      <c r="H10" s="100"/>
    </row>
    <row r="11" spans="1:8" s="22" customFormat="1" ht="39" thickBot="1">
      <c r="A11" s="6" t="s">
        <v>0</v>
      </c>
      <c r="B11" s="7" t="s">
        <v>5</v>
      </c>
      <c r="C11" s="7" t="s">
        <v>1</v>
      </c>
      <c r="D11" s="7" t="s">
        <v>3</v>
      </c>
      <c r="E11" s="7" t="s">
        <v>2</v>
      </c>
      <c r="F11" s="8" t="s">
        <v>12</v>
      </c>
      <c r="G11" s="8" t="s">
        <v>13</v>
      </c>
      <c r="H11" s="9" t="s">
        <v>10</v>
      </c>
    </row>
    <row r="12" spans="1:8" ht="18.75" customHeight="1">
      <c r="A12" s="10">
        <v>1</v>
      </c>
      <c r="B12" s="11"/>
      <c r="C12" s="12" t="s">
        <v>15</v>
      </c>
      <c r="D12" s="18"/>
      <c r="E12" s="19"/>
      <c r="F12" s="27"/>
      <c r="G12" s="34"/>
      <c r="H12" s="35"/>
    </row>
    <row r="13" spans="1:8" ht="67.5">
      <c r="A13" s="16" t="s">
        <v>14</v>
      </c>
      <c r="B13" s="1" t="s">
        <v>16</v>
      </c>
      <c r="C13" s="2" t="s">
        <v>26</v>
      </c>
      <c r="D13" s="20" t="s">
        <v>110</v>
      </c>
      <c r="E13" s="21">
        <v>1</v>
      </c>
      <c r="F13" s="30">
        <v>1090.22</v>
      </c>
      <c r="G13" s="30">
        <f>ROUND(F13+(F13*$H$9),2)</f>
        <v>1415.54</v>
      </c>
      <c r="H13" s="31">
        <f>ROUND((E13*G13),2)</f>
        <v>1415.54</v>
      </c>
    </row>
    <row r="14" spans="1:8" ht="78.75">
      <c r="A14" s="16" t="s">
        <v>163</v>
      </c>
      <c r="B14" s="1" t="s">
        <v>102</v>
      </c>
      <c r="C14" s="2" t="s">
        <v>164</v>
      </c>
      <c r="D14" s="20" t="s">
        <v>108</v>
      </c>
      <c r="E14" s="21">
        <f>491.47*0.4</f>
        <v>196.58800000000002</v>
      </c>
      <c r="F14" s="30">
        <v>14.94</v>
      </c>
      <c r="G14" s="30">
        <f>ROUND(F14+(F14*$H$9),2)</f>
        <v>19.4</v>
      </c>
      <c r="H14" s="31">
        <f>ROUND((E14*G14),2)</f>
        <v>3813.81</v>
      </c>
    </row>
    <row r="15" spans="1:8" ht="11.25">
      <c r="A15" s="16"/>
      <c r="B15" s="1"/>
      <c r="C15" s="2"/>
      <c r="D15" s="20"/>
      <c r="E15" s="21"/>
      <c r="F15" s="30"/>
      <c r="G15" s="30"/>
      <c r="H15" s="31"/>
    </row>
    <row r="16" spans="1:8" ht="18.75" customHeight="1">
      <c r="A16" s="23">
        <v>2</v>
      </c>
      <c r="B16" s="13"/>
      <c r="C16" s="14" t="s">
        <v>131</v>
      </c>
      <c r="D16" s="36"/>
      <c r="E16" s="37"/>
      <c r="F16" s="38"/>
      <c r="G16" s="28"/>
      <c r="H16" s="29"/>
    </row>
    <row r="17" spans="1:8" ht="11.25">
      <c r="A17" s="16" t="s">
        <v>17</v>
      </c>
      <c r="B17" s="17" t="s">
        <v>27</v>
      </c>
      <c r="C17" s="2" t="s">
        <v>28</v>
      </c>
      <c r="D17" s="20" t="s">
        <v>108</v>
      </c>
      <c r="E17" s="21">
        <f>16*0.9^2*0.8</f>
        <v>10.368000000000002</v>
      </c>
      <c r="F17" s="30">
        <v>45.49</v>
      </c>
      <c r="G17" s="30">
        <f aca="true" t="shared" si="0" ref="G17:G25">ROUND(F17+(F17*$H$9),2)</f>
        <v>59.06</v>
      </c>
      <c r="H17" s="31">
        <f aca="true" t="shared" si="1" ref="H17:H25">ROUND((E17*G17),2)</f>
        <v>612.33</v>
      </c>
    </row>
    <row r="18" spans="1:8" ht="11.25">
      <c r="A18" s="16" t="s">
        <v>18</v>
      </c>
      <c r="B18" s="17" t="s">
        <v>29</v>
      </c>
      <c r="C18" s="2" t="s">
        <v>30</v>
      </c>
      <c r="D18" s="17" t="s">
        <v>106</v>
      </c>
      <c r="E18" s="21">
        <f>16*0.9^2</f>
        <v>12.96</v>
      </c>
      <c r="F18" s="30">
        <v>15.38</v>
      </c>
      <c r="G18" s="30">
        <f t="shared" si="0"/>
        <v>19.97</v>
      </c>
      <c r="H18" s="31">
        <f t="shared" si="1"/>
        <v>258.81</v>
      </c>
    </row>
    <row r="19" spans="1:8" ht="22.5">
      <c r="A19" s="16" t="s">
        <v>19</v>
      </c>
      <c r="B19" s="17" t="s">
        <v>154</v>
      </c>
      <c r="C19" s="2" t="s">
        <v>153</v>
      </c>
      <c r="D19" s="17" t="s">
        <v>155</v>
      </c>
      <c r="E19" s="21">
        <v>1</v>
      </c>
      <c r="F19" s="30">
        <v>6500</v>
      </c>
      <c r="G19" s="30">
        <f t="shared" si="0"/>
        <v>8439.6</v>
      </c>
      <c r="H19" s="31">
        <f t="shared" si="1"/>
        <v>8439.6</v>
      </c>
    </row>
    <row r="20" spans="1:8" ht="22.5">
      <c r="A20" s="16" t="s">
        <v>20</v>
      </c>
      <c r="B20" s="17" t="s">
        <v>133</v>
      </c>
      <c r="C20" s="2" t="s">
        <v>132</v>
      </c>
      <c r="D20" s="17" t="s">
        <v>107</v>
      </c>
      <c r="E20" s="21">
        <v>160</v>
      </c>
      <c r="F20" s="30">
        <v>104.92</v>
      </c>
      <c r="G20" s="30">
        <f t="shared" si="0"/>
        <v>136.23</v>
      </c>
      <c r="H20" s="31">
        <f t="shared" si="1"/>
        <v>21796.8</v>
      </c>
    </row>
    <row r="21" spans="1:8" ht="22.5">
      <c r="A21" s="16" t="s">
        <v>21</v>
      </c>
      <c r="B21" s="17" t="s">
        <v>147</v>
      </c>
      <c r="C21" s="2" t="s">
        <v>146</v>
      </c>
      <c r="D21" s="17" t="s">
        <v>106</v>
      </c>
      <c r="E21" s="21">
        <f>16*0.8*0.9*4</f>
        <v>46.080000000000005</v>
      </c>
      <c r="F21" s="30">
        <v>39.02</v>
      </c>
      <c r="G21" s="30">
        <f t="shared" si="0"/>
        <v>50.66</v>
      </c>
      <c r="H21" s="31">
        <f t="shared" si="1"/>
        <v>2334.41</v>
      </c>
    </row>
    <row r="22" spans="1:8" ht="33.75">
      <c r="A22" s="16" t="s">
        <v>149</v>
      </c>
      <c r="B22" s="17" t="s">
        <v>151</v>
      </c>
      <c r="C22" s="2" t="s">
        <v>152</v>
      </c>
      <c r="D22" s="17" t="s">
        <v>106</v>
      </c>
      <c r="E22" s="21">
        <f>150.82*0.8*2+16*3.6*0.9+11*3*0.8</f>
        <v>319.552</v>
      </c>
      <c r="F22" s="30">
        <v>30.73</v>
      </c>
      <c r="G22" s="30">
        <f t="shared" si="0"/>
        <v>39.9</v>
      </c>
      <c r="H22" s="31">
        <f t="shared" si="1"/>
        <v>12750.12</v>
      </c>
    </row>
    <row r="23" spans="1:8" ht="45">
      <c r="A23" s="16" t="s">
        <v>150</v>
      </c>
      <c r="B23" s="17" t="s">
        <v>83</v>
      </c>
      <c r="C23" s="2" t="s">
        <v>82</v>
      </c>
      <c r="D23" s="17" t="s">
        <v>108</v>
      </c>
      <c r="E23" s="21">
        <f>16*(0.9^2*0.5+3.6*0.15*0.3)+11*3*0.2^2</f>
        <v>10.392000000000001</v>
      </c>
      <c r="F23" s="32">
        <v>424.57</v>
      </c>
      <c r="G23" s="30">
        <f t="shared" si="0"/>
        <v>551.26</v>
      </c>
      <c r="H23" s="31">
        <f t="shared" si="1"/>
        <v>5728.69</v>
      </c>
    </row>
    <row r="24" spans="1:8" ht="33.75">
      <c r="A24" s="16" t="s">
        <v>165</v>
      </c>
      <c r="B24" s="17" t="s">
        <v>102</v>
      </c>
      <c r="C24" s="2" t="s">
        <v>148</v>
      </c>
      <c r="D24" s="17" t="s">
        <v>108</v>
      </c>
      <c r="E24" s="21">
        <f>0.15*0.4*150.82*2</f>
        <v>18.098399999999998</v>
      </c>
      <c r="F24" s="32">
        <v>276.11</v>
      </c>
      <c r="G24" s="30">
        <f t="shared" si="0"/>
        <v>358.5</v>
      </c>
      <c r="H24" s="31">
        <f t="shared" si="1"/>
        <v>6488.28</v>
      </c>
    </row>
    <row r="25" spans="1:8" ht="11.25">
      <c r="A25" s="16" t="s">
        <v>166</v>
      </c>
      <c r="B25" s="17" t="s">
        <v>31</v>
      </c>
      <c r="C25" s="2" t="s">
        <v>79</v>
      </c>
      <c r="D25" s="20" t="s">
        <v>109</v>
      </c>
      <c r="E25" s="21">
        <f>(E23+E24)*80</f>
        <v>2279.232</v>
      </c>
      <c r="F25" s="32">
        <v>7.33</v>
      </c>
      <c r="G25" s="30">
        <f t="shared" si="0"/>
        <v>9.52</v>
      </c>
      <c r="H25" s="31">
        <f t="shared" si="1"/>
        <v>21698.29</v>
      </c>
    </row>
    <row r="26" spans="1:8" ht="11.25">
      <c r="A26" s="16"/>
      <c r="B26" s="17"/>
      <c r="C26" s="2"/>
      <c r="D26" s="20"/>
      <c r="E26" s="21"/>
      <c r="F26" s="32"/>
      <c r="G26" s="30"/>
      <c r="H26" s="31"/>
    </row>
    <row r="27" spans="1:8" ht="18.75" customHeight="1">
      <c r="A27" s="23">
        <v>3</v>
      </c>
      <c r="B27" s="13"/>
      <c r="C27" s="14" t="s">
        <v>129</v>
      </c>
      <c r="D27" s="36"/>
      <c r="E27" s="37"/>
      <c r="F27" s="38"/>
      <c r="G27" s="28"/>
      <c r="H27" s="29"/>
    </row>
    <row r="28" spans="1:8" ht="67.5">
      <c r="A28" s="16" t="s">
        <v>22</v>
      </c>
      <c r="B28" s="1" t="s">
        <v>104</v>
      </c>
      <c r="C28" s="2" t="s">
        <v>105</v>
      </c>
      <c r="D28" s="20" t="s">
        <v>106</v>
      </c>
      <c r="E28" s="21">
        <v>546.63</v>
      </c>
      <c r="F28" s="32">
        <v>115.11</v>
      </c>
      <c r="G28" s="30">
        <f>ROUND(F28+(F28*$H$9),2)</f>
        <v>149.46</v>
      </c>
      <c r="H28" s="31">
        <f>ROUND((E28*G28),2)</f>
        <v>81699.32</v>
      </c>
    </row>
    <row r="29" spans="1:8" ht="11.25">
      <c r="A29" s="16"/>
      <c r="B29" s="1"/>
      <c r="C29" s="2"/>
      <c r="D29" s="20"/>
      <c r="E29" s="21"/>
      <c r="F29" s="32"/>
      <c r="G29" s="30"/>
      <c r="H29" s="31"/>
    </row>
    <row r="30" spans="1:8" ht="18.75" customHeight="1">
      <c r="A30" s="23">
        <v>4</v>
      </c>
      <c r="B30" s="13"/>
      <c r="C30" s="14" t="s">
        <v>36</v>
      </c>
      <c r="D30" s="36"/>
      <c r="E30" s="37"/>
      <c r="F30" s="38"/>
      <c r="G30" s="28"/>
      <c r="H30" s="29"/>
    </row>
    <row r="31" spans="1:8" ht="22.5">
      <c r="A31" s="16" t="s">
        <v>23</v>
      </c>
      <c r="B31" s="1" t="s">
        <v>33</v>
      </c>
      <c r="C31" s="2" t="s">
        <v>35</v>
      </c>
      <c r="D31" s="20" t="s">
        <v>107</v>
      </c>
      <c r="E31" s="20">
        <v>58.46</v>
      </c>
      <c r="F31" s="32">
        <v>65.55</v>
      </c>
      <c r="G31" s="30">
        <f>ROUND(F31+(F31*$H$9),2)</f>
        <v>85.11</v>
      </c>
      <c r="H31" s="31">
        <f>ROUND((E31*G31),2)</f>
        <v>4975.53</v>
      </c>
    </row>
    <row r="32" spans="1:8" ht="22.5">
      <c r="A32" s="16" t="s">
        <v>32</v>
      </c>
      <c r="B32" s="1" t="s">
        <v>34</v>
      </c>
      <c r="C32" s="2" t="s">
        <v>78</v>
      </c>
      <c r="D32" s="20" t="s">
        <v>107</v>
      </c>
      <c r="E32" s="20">
        <f>2*9.35+58.46</f>
        <v>77.16</v>
      </c>
      <c r="F32" s="32">
        <v>27.68</v>
      </c>
      <c r="G32" s="30">
        <f>ROUND(F32+(F32*$H$9),2)</f>
        <v>35.94</v>
      </c>
      <c r="H32" s="31">
        <f>ROUND((E32*G32),2)</f>
        <v>2773.13</v>
      </c>
    </row>
    <row r="33" spans="1:8" ht="22.5">
      <c r="A33" s="16" t="s">
        <v>84</v>
      </c>
      <c r="B33" s="1" t="s">
        <v>128</v>
      </c>
      <c r="C33" s="2" t="s">
        <v>127</v>
      </c>
      <c r="D33" s="20" t="s">
        <v>107</v>
      </c>
      <c r="E33" s="20">
        <f>136.23+98</f>
        <v>234.23</v>
      </c>
      <c r="F33" s="32">
        <v>50.21</v>
      </c>
      <c r="G33" s="30">
        <f>ROUND(F33+(F33*$H$9),2)</f>
        <v>65.19</v>
      </c>
      <c r="H33" s="31">
        <f>ROUND((E33*G33),2)</f>
        <v>15269.45</v>
      </c>
    </row>
    <row r="34" spans="1:8" ht="11.25">
      <c r="A34" s="16"/>
      <c r="B34" s="1"/>
      <c r="C34" s="2"/>
      <c r="D34" s="20"/>
      <c r="E34" s="21"/>
      <c r="F34" s="32"/>
      <c r="G34" s="30"/>
      <c r="H34" s="31"/>
    </row>
    <row r="35" spans="1:8" ht="18.75" customHeight="1">
      <c r="A35" s="23">
        <v>5</v>
      </c>
      <c r="B35" s="13"/>
      <c r="C35" s="14" t="s">
        <v>41</v>
      </c>
      <c r="D35" s="36"/>
      <c r="E35" s="37"/>
      <c r="F35" s="38"/>
      <c r="G35" s="28"/>
      <c r="H35" s="29"/>
    </row>
    <row r="36" spans="1:8" ht="22.5">
      <c r="A36" s="16" t="s">
        <v>144</v>
      </c>
      <c r="B36" s="1" t="s">
        <v>38</v>
      </c>
      <c r="C36" s="2" t="s">
        <v>77</v>
      </c>
      <c r="D36" s="20" t="s">
        <v>106</v>
      </c>
      <c r="E36" s="21">
        <v>296.26</v>
      </c>
      <c r="F36" s="32">
        <v>22.09</v>
      </c>
      <c r="G36" s="30">
        <f aca="true" t="shared" si="2" ref="G36:G41">ROUND(F36+(F36*$H$9),2)</f>
        <v>28.68</v>
      </c>
      <c r="H36" s="31">
        <f aca="true" t="shared" si="3" ref="H36:H41">ROUND((E36*G36),2)</f>
        <v>8496.74</v>
      </c>
    </row>
    <row r="37" spans="1:8" ht="22.5">
      <c r="A37" s="16" t="s">
        <v>37</v>
      </c>
      <c r="B37" s="1" t="s">
        <v>115</v>
      </c>
      <c r="C37" s="2" t="s">
        <v>116</v>
      </c>
      <c r="D37" s="20" t="s">
        <v>106</v>
      </c>
      <c r="E37" s="21">
        <v>195.22</v>
      </c>
      <c r="F37" s="32">
        <v>37.07</v>
      </c>
      <c r="G37" s="30">
        <f t="shared" si="2"/>
        <v>48.13</v>
      </c>
      <c r="H37" s="31">
        <f t="shared" si="3"/>
        <v>9395.94</v>
      </c>
    </row>
    <row r="38" spans="1:8" ht="56.25">
      <c r="A38" s="16" t="s">
        <v>145</v>
      </c>
      <c r="B38" s="1" t="s">
        <v>162</v>
      </c>
      <c r="C38" s="2" t="s">
        <v>161</v>
      </c>
      <c r="D38" s="20" t="s">
        <v>106</v>
      </c>
      <c r="E38" s="21">
        <f>E36</f>
        <v>296.26</v>
      </c>
      <c r="F38" s="32">
        <v>69.86</v>
      </c>
      <c r="G38" s="30">
        <f t="shared" si="2"/>
        <v>90.71</v>
      </c>
      <c r="H38" s="31">
        <f t="shared" si="3"/>
        <v>26873.74</v>
      </c>
    </row>
    <row r="39" spans="1:8" ht="33.75">
      <c r="A39" s="16" t="s">
        <v>85</v>
      </c>
      <c r="B39" s="1" t="s">
        <v>159</v>
      </c>
      <c r="C39" s="2" t="s">
        <v>158</v>
      </c>
      <c r="D39" s="20" t="s">
        <v>107</v>
      </c>
      <c r="E39" s="21">
        <f>5*28+18.16+2.77*2+3.525*2+2.325*2+2.77*2-8*0.8</f>
        <v>174.54</v>
      </c>
      <c r="F39" s="32">
        <v>9.06</v>
      </c>
      <c r="G39" s="30">
        <f t="shared" si="2"/>
        <v>11.76</v>
      </c>
      <c r="H39" s="31">
        <f t="shared" si="3"/>
        <v>2052.59</v>
      </c>
    </row>
    <row r="40" spans="1:8" ht="11.25">
      <c r="A40" s="16" t="s">
        <v>160</v>
      </c>
      <c r="B40" s="1" t="s">
        <v>168</v>
      </c>
      <c r="C40" s="2" t="s">
        <v>169</v>
      </c>
      <c r="D40" s="20" t="s">
        <v>106</v>
      </c>
      <c r="E40" s="21">
        <f>(21*2.2+2)*0.2</f>
        <v>9.64</v>
      </c>
      <c r="F40" s="32">
        <v>135.36</v>
      </c>
      <c r="G40" s="30">
        <f t="shared" si="2"/>
        <v>175.75</v>
      </c>
      <c r="H40" s="31">
        <f t="shared" si="3"/>
        <v>1694.23</v>
      </c>
    </row>
    <row r="41" spans="1:8" ht="11.25">
      <c r="A41" s="16" t="s">
        <v>160</v>
      </c>
      <c r="B41" s="1" t="s">
        <v>39</v>
      </c>
      <c r="C41" s="2" t="s">
        <v>76</v>
      </c>
      <c r="D41" s="20" t="s">
        <v>106</v>
      </c>
      <c r="E41" s="21">
        <f>E52*0.15*0.8</f>
        <v>0.96</v>
      </c>
      <c r="F41" s="32">
        <v>135.36</v>
      </c>
      <c r="G41" s="30">
        <f t="shared" si="2"/>
        <v>175.75</v>
      </c>
      <c r="H41" s="31">
        <f t="shared" si="3"/>
        <v>168.72</v>
      </c>
    </row>
    <row r="42" spans="1:8" ht="11.25">
      <c r="A42" s="16"/>
      <c r="B42" s="1"/>
      <c r="C42" s="2"/>
      <c r="D42" s="20"/>
      <c r="E42" s="21"/>
      <c r="F42" s="32"/>
      <c r="G42" s="30"/>
      <c r="H42" s="31"/>
    </row>
    <row r="43" spans="1:8" ht="18.75" customHeight="1">
      <c r="A43" s="23">
        <v>6</v>
      </c>
      <c r="B43" s="13"/>
      <c r="C43" s="14" t="s">
        <v>130</v>
      </c>
      <c r="D43" s="36"/>
      <c r="E43" s="37"/>
      <c r="F43" s="38"/>
      <c r="G43" s="28"/>
      <c r="H43" s="29"/>
    </row>
    <row r="44" spans="1:8" ht="33.75">
      <c r="A44" s="16" t="s">
        <v>40</v>
      </c>
      <c r="B44" s="1" t="s">
        <v>42</v>
      </c>
      <c r="C44" s="2" t="s">
        <v>44</v>
      </c>
      <c r="D44" s="20" t="s">
        <v>106</v>
      </c>
      <c r="E44" s="21">
        <f>150.82*3.3-(8*2.1*0.8+21*2.2*1.3+2*1*1.3)+136.23*1.2</f>
        <v>585.082</v>
      </c>
      <c r="F44" s="32">
        <v>39.55</v>
      </c>
      <c r="G44" s="30">
        <f>ROUND(F44+(F44*$H$9),2)</f>
        <v>51.35</v>
      </c>
      <c r="H44" s="31">
        <f>ROUND((E44*G44),2)</f>
        <v>30043.96</v>
      </c>
    </row>
    <row r="45" spans="1:8" ht="33.75">
      <c r="A45" s="16" t="s">
        <v>170</v>
      </c>
      <c r="B45" s="1" t="s">
        <v>171</v>
      </c>
      <c r="C45" s="2" t="s">
        <v>172</v>
      </c>
      <c r="D45" s="20" t="s">
        <v>107</v>
      </c>
      <c r="E45" s="21">
        <v>98</v>
      </c>
      <c r="F45" s="32">
        <v>282.76</v>
      </c>
      <c r="G45" s="30">
        <f>ROUND(F45+(F45*$H$9),2)</f>
        <v>367.14</v>
      </c>
      <c r="H45" s="31">
        <f>ROUND((E45*G45),2)</f>
        <v>35979.72</v>
      </c>
    </row>
    <row r="46" spans="1:8" ht="11.25">
      <c r="A46" s="16"/>
      <c r="B46" s="1"/>
      <c r="C46" s="2"/>
      <c r="D46" s="20"/>
      <c r="E46" s="21"/>
      <c r="F46" s="32"/>
      <c r="G46" s="30"/>
      <c r="H46" s="31"/>
    </row>
    <row r="47" spans="1:8" ht="18.75" customHeight="1">
      <c r="A47" s="23">
        <v>7</v>
      </c>
      <c r="B47" s="13"/>
      <c r="C47" s="14" t="s">
        <v>124</v>
      </c>
      <c r="D47" s="36"/>
      <c r="E47" s="37"/>
      <c r="F47" s="38"/>
      <c r="G47" s="28"/>
      <c r="H47" s="29"/>
    </row>
    <row r="48" spans="1:8" ht="45">
      <c r="A48" s="16" t="s">
        <v>43</v>
      </c>
      <c r="B48" s="1" t="s">
        <v>102</v>
      </c>
      <c r="C48" s="2" t="s">
        <v>101</v>
      </c>
      <c r="D48" s="20" t="s">
        <v>108</v>
      </c>
      <c r="E48" s="21">
        <f>(8*1+21*2.4+2*1.2)*0.15^2</f>
        <v>1.3679999999999999</v>
      </c>
      <c r="F48" s="32">
        <v>1868.58</v>
      </c>
      <c r="G48" s="30">
        <f>ROUND(F48+(F48*$H$9),2)</f>
        <v>2426.16</v>
      </c>
      <c r="H48" s="31">
        <f>ROUND((E48*G48),2)</f>
        <v>3318.99</v>
      </c>
    </row>
    <row r="49" spans="1:8" ht="45">
      <c r="A49" s="16" t="s">
        <v>86</v>
      </c>
      <c r="B49" s="1" t="s">
        <v>102</v>
      </c>
      <c r="C49" s="2" t="s">
        <v>123</v>
      </c>
      <c r="D49" s="20" t="s">
        <v>108</v>
      </c>
      <c r="E49" s="21">
        <f>(21*2.4+2*1.2)*0.15^2</f>
        <v>1.188</v>
      </c>
      <c r="F49" s="32">
        <v>1868.58</v>
      </c>
      <c r="G49" s="30">
        <f>ROUND(F49+(F49*$H$9),2)</f>
        <v>2426.16</v>
      </c>
      <c r="H49" s="31">
        <f>ROUND((E49*G49),2)</f>
        <v>2882.28</v>
      </c>
    </row>
    <row r="50" spans="1:8" ht="11.25">
      <c r="A50" s="16"/>
      <c r="B50" s="1"/>
      <c r="C50" s="2"/>
      <c r="D50" s="20"/>
      <c r="E50" s="21"/>
      <c r="F50" s="32"/>
      <c r="G50" s="30"/>
      <c r="H50" s="31"/>
    </row>
    <row r="51" spans="1:8" ht="18.75" customHeight="1">
      <c r="A51" s="23">
        <v>8</v>
      </c>
      <c r="B51" s="13"/>
      <c r="C51" s="14" t="s">
        <v>117</v>
      </c>
      <c r="D51" s="36"/>
      <c r="E51" s="37"/>
      <c r="F51" s="38"/>
      <c r="G51" s="28"/>
      <c r="H51" s="29"/>
    </row>
    <row r="52" spans="1:8" ht="33.75">
      <c r="A52" s="16" t="s">
        <v>45</v>
      </c>
      <c r="B52" s="1" t="s">
        <v>48</v>
      </c>
      <c r="C52" s="2" t="s">
        <v>75</v>
      </c>
      <c r="D52" s="20" t="s">
        <v>110</v>
      </c>
      <c r="E52" s="21">
        <v>8</v>
      </c>
      <c r="F52" s="32">
        <v>521.52</v>
      </c>
      <c r="G52" s="30">
        <f>ROUND(F52+(F52*$H$9),2)</f>
        <v>677.14</v>
      </c>
      <c r="H52" s="31">
        <f>ROUND((E52*G52),2)</f>
        <v>5417.12</v>
      </c>
    </row>
    <row r="53" spans="1:8" ht="45">
      <c r="A53" s="16" t="s">
        <v>46</v>
      </c>
      <c r="B53" s="1" t="s">
        <v>112</v>
      </c>
      <c r="C53" s="2" t="s">
        <v>111</v>
      </c>
      <c r="D53" s="20" t="s">
        <v>106</v>
      </c>
      <c r="E53" s="21">
        <f>ROUND(21*2.2*1.3,2)</f>
        <v>60.06</v>
      </c>
      <c r="F53" s="32">
        <v>408.83</v>
      </c>
      <c r="G53" s="30">
        <f>ROUND(F53+(F53*$H$9),2)</f>
        <v>530.82</v>
      </c>
      <c r="H53" s="31">
        <f>ROUND((E53*G53),2)</f>
        <v>31881.05</v>
      </c>
    </row>
    <row r="54" spans="1:8" ht="45">
      <c r="A54" s="16" t="s">
        <v>87</v>
      </c>
      <c r="B54" s="1" t="s">
        <v>114</v>
      </c>
      <c r="C54" s="2" t="s">
        <v>113</v>
      </c>
      <c r="D54" s="20" t="s">
        <v>106</v>
      </c>
      <c r="E54" s="21">
        <f>ROUND(2*1*1.3,2)</f>
        <v>2.6</v>
      </c>
      <c r="F54" s="32">
        <v>393.65</v>
      </c>
      <c r="G54" s="30">
        <f>ROUND(F54+(F54*$H$9),2)</f>
        <v>511.12</v>
      </c>
      <c r="H54" s="31">
        <f>ROUND((E54*G54),2)</f>
        <v>1328.91</v>
      </c>
    </row>
    <row r="55" spans="1:8" ht="11.25">
      <c r="A55" s="16"/>
      <c r="B55" s="1"/>
      <c r="C55" s="2"/>
      <c r="D55" s="20"/>
      <c r="E55" s="21"/>
      <c r="F55" s="32"/>
      <c r="G55" s="30"/>
      <c r="H55" s="31"/>
    </row>
    <row r="56" spans="1:8" ht="18.75" customHeight="1">
      <c r="A56" s="23">
        <v>9</v>
      </c>
      <c r="B56" s="13"/>
      <c r="C56" s="14" t="s">
        <v>57</v>
      </c>
      <c r="D56" s="36"/>
      <c r="E56" s="37"/>
      <c r="F56" s="38"/>
      <c r="G56" s="28"/>
      <c r="H56" s="29"/>
    </row>
    <row r="57" spans="1:8" ht="33.75">
      <c r="A57" s="16" t="s">
        <v>47</v>
      </c>
      <c r="B57" s="1" t="s">
        <v>53</v>
      </c>
      <c r="C57" s="2" t="s">
        <v>56</v>
      </c>
      <c r="D57" s="20" t="s">
        <v>106</v>
      </c>
      <c r="E57" s="21">
        <f>E44*2</f>
        <v>1170.164</v>
      </c>
      <c r="F57" s="32">
        <v>5.63</v>
      </c>
      <c r="G57" s="30">
        <f>ROUND(F57+(F57*$H$9),2)</f>
        <v>7.31</v>
      </c>
      <c r="H57" s="31">
        <f>ROUND((E57*G57),2)</f>
        <v>8553.9</v>
      </c>
    </row>
    <row r="58" spans="1:8" ht="22.5">
      <c r="A58" s="16" t="s">
        <v>49</v>
      </c>
      <c r="B58" s="1" t="s">
        <v>54</v>
      </c>
      <c r="C58" s="2" t="s">
        <v>74</v>
      </c>
      <c r="D58" s="20" t="s">
        <v>106</v>
      </c>
      <c r="E58" s="21">
        <f>E57+98*1.8*2</f>
        <v>1522.964</v>
      </c>
      <c r="F58" s="32">
        <v>20.96</v>
      </c>
      <c r="G58" s="30">
        <f>ROUND(F58+(F58*$H$9),2)</f>
        <v>27.21</v>
      </c>
      <c r="H58" s="31">
        <f>ROUND((E58*G58),2)</f>
        <v>41439.85</v>
      </c>
    </row>
    <row r="59" spans="1:8" ht="22.5">
      <c r="A59" s="16" t="s">
        <v>50</v>
      </c>
      <c r="B59" s="1" t="s">
        <v>55</v>
      </c>
      <c r="C59" s="2" t="s">
        <v>73</v>
      </c>
      <c r="D59" s="20" t="s">
        <v>106</v>
      </c>
      <c r="E59" s="21">
        <f>E57-E60</f>
        <v>1057.314</v>
      </c>
      <c r="F59" s="32">
        <v>19.71</v>
      </c>
      <c r="G59" s="30">
        <f>ROUND(F59+(F59*$H$9),2)</f>
        <v>25.59</v>
      </c>
      <c r="H59" s="31">
        <f>ROUND((E59*G59),2)</f>
        <v>27056.67</v>
      </c>
    </row>
    <row r="60" spans="1:8" ht="56.25">
      <c r="A60" s="16" t="s">
        <v>51</v>
      </c>
      <c r="B60" s="1" t="s">
        <v>102</v>
      </c>
      <c r="C60" s="2" t="s">
        <v>125</v>
      </c>
      <c r="D60" s="20" t="s">
        <v>106</v>
      </c>
      <c r="E60" s="21">
        <v>112.85</v>
      </c>
      <c r="F60" s="32">
        <v>55.41</v>
      </c>
      <c r="G60" s="30">
        <f>ROUND(F60+(F60*$H$9),2)</f>
        <v>71.94</v>
      </c>
      <c r="H60" s="31">
        <f>ROUND((E60*G60),2)</f>
        <v>8118.43</v>
      </c>
    </row>
    <row r="61" spans="1:8" ht="11.25">
      <c r="A61" s="16" t="s">
        <v>167</v>
      </c>
      <c r="B61" s="1" t="s">
        <v>156</v>
      </c>
      <c r="C61" s="2" t="s">
        <v>157</v>
      </c>
      <c r="D61" s="20" t="s">
        <v>106</v>
      </c>
      <c r="E61" s="21">
        <f>E36</f>
        <v>296.26</v>
      </c>
      <c r="F61" s="32">
        <v>33.45</v>
      </c>
      <c r="G61" s="30">
        <f>ROUND(F61+(F61*$H$9),2)</f>
        <v>43.43</v>
      </c>
      <c r="H61" s="31">
        <f>ROUND((E61*G61),2)</f>
        <v>12866.57</v>
      </c>
    </row>
    <row r="62" spans="1:8" ht="11.25">
      <c r="A62" s="16"/>
      <c r="B62" s="1"/>
      <c r="C62" s="2"/>
      <c r="D62" s="20"/>
      <c r="E62" s="21"/>
      <c r="F62" s="32"/>
      <c r="G62" s="30"/>
      <c r="H62" s="31"/>
    </row>
    <row r="63" spans="1:8" ht="18.75" customHeight="1">
      <c r="A63" s="23">
        <v>10</v>
      </c>
      <c r="B63" s="13"/>
      <c r="C63" s="14" t="s">
        <v>62</v>
      </c>
      <c r="D63" s="36"/>
      <c r="E63" s="37"/>
      <c r="F63" s="38"/>
      <c r="G63" s="28"/>
      <c r="H63" s="29"/>
    </row>
    <row r="64" spans="1:8" ht="33.75">
      <c r="A64" s="16" t="s">
        <v>52</v>
      </c>
      <c r="B64" s="1" t="s">
        <v>135</v>
      </c>
      <c r="C64" s="2" t="s">
        <v>136</v>
      </c>
      <c r="D64" s="20" t="s">
        <v>106</v>
      </c>
      <c r="E64" s="21">
        <f>E59+98*1.8*2</f>
        <v>1410.114</v>
      </c>
      <c r="F64" s="32">
        <v>4.29</v>
      </c>
      <c r="G64" s="30">
        <f>ROUND(F64+(F64*$H$9),2)</f>
        <v>5.57</v>
      </c>
      <c r="H64" s="31">
        <f>ROUND((E64*G64),2)</f>
        <v>7854.33</v>
      </c>
    </row>
    <row r="65" spans="1:8" ht="33.75">
      <c r="A65" s="16" t="s">
        <v>134</v>
      </c>
      <c r="B65" s="1" t="s">
        <v>58</v>
      </c>
      <c r="C65" s="2" t="s">
        <v>61</v>
      </c>
      <c r="D65" s="20" t="s">
        <v>106</v>
      </c>
      <c r="E65" s="21">
        <f>E64</f>
        <v>1410.114</v>
      </c>
      <c r="F65" s="32">
        <v>8.81</v>
      </c>
      <c r="G65" s="30">
        <f>ROUND(F65+(F65*$H$9),2)</f>
        <v>11.44</v>
      </c>
      <c r="H65" s="31">
        <f>ROUND((E65*G65),2)</f>
        <v>16131.7</v>
      </c>
    </row>
    <row r="66" spans="1:8" ht="11.25">
      <c r="A66" s="16"/>
      <c r="B66" s="1"/>
      <c r="C66" s="2"/>
      <c r="D66" s="20"/>
      <c r="E66" s="21"/>
      <c r="F66" s="32"/>
      <c r="G66" s="30"/>
      <c r="H66" s="31"/>
    </row>
    <row r="67" spans="1:8" ht="18.75" customHeight="1">
      <c r="A67" s="23">
        <v>11</v>
      </c>
      <c r="B67" s="13"/>
      <c r="C67" s="14" t="s">
        <v>118</v>
      </c>
      <c r="D67" s="36"/>
      <c r="E67" s="37"/>
      <c r="F67" s="38"/>
      <c r="G67" s="28"/>
      <c r="H67" s="29"/>
    </row>
    <row r="68" spans="1:8" ht="33.75">
      <c r="A68" s="16" t="s">
        <v>59</v>
      </c>
      <c r="B68" s="1" t="s">
        <v>63</v>
      </c>
      <c r="C68" s="2" t="s">
        <v>65</v>
      </c>
      <c r="D68" s="20" t="s">
        <v>110</v>
      </c>
      <c r="E68" s="21">
        <v>2</v>
      </c>
      <c r="F68" s="32">
        <v>47.6</v>
      </c>
      <c r="G68" s="30">
        <f>ROUND(F68+(F68*$H$9),2)</f>
        <v>61.8</v>
      </c>
      <c r="H68" s="31">
        <f>ROUND((E68*G68),2)</f>
        <v>123.6</v>
      </c>
    </row>
    <row r="69" spans="1:8" ht="22.5">
      <c r="A69" s="16" t="s">
        <v>142</v>
      </c>
      <c r="B69" s="1" t="s">
        <v>64</v>
      </c>
      <c r="C69" s="2" t="s">
        <v>72</v>
      </c>
      <c r="D69" s="20" t="s">
        <v>110</v>
      </c>
      <c r="E69" s="21">
        <v>2</v>
      </c>
      <c r="F69" s="32">
        <v>82.61</v>
      </c>
      <c r="G69" s="30">
        <f>ROUND(F69+(F69*$H$9),2)</f>
        <v>107.26</v>
      </c>
      <c r="H69" s="31">
        <f>ROUND((E69*G69),2)</f>
        <v>214.52</v>
      </c>
    </row>
    <row r="70" spans="1:8" ht="56.25">
      <c r="A70" s="16" t="s">
        <v>60</v>
      </c>
      <c r="B70" s="1" t="s">
        <v>102</v>
      </c>
      <c r="C70" s="2" t="s">
        <v>119</v>
      </c>
      <c r="D70" s="20" t="s">
        <v>110</v>
      </c>
      <c r="E70" s="21">
        <v>1</v>
      </c>
      <c r="F70" s="32">
        <v>411.13</v>
      </c>
      <c r="G70" s="30">
        <f aca="true" t="shared" si="4" ref="G70:G80">ROUND(F70+(F70*$H$9),2)</f>
        <v>533.81</v>
      </c>
      <c r="H70" s="31">
        <f>ROUND((E70*G70),2)</f>
        <v>533.81</v>
      </c>
    </row>
    <row r="71" spans="1:8" ht="33.75">
      <c r="A71" s="16" t="s">
        <v>143</v>
      </c>
      <c r="B71" s="1" t="s">
        <v>121</v>
      </c>
      <c r="C71" s="2" t="s">
        <v>120</v>
      </c>
      <c r="D71" s="20" t="s">
        <v>110</v>
      </c>
      <c r="E71" s="21">
        <v>2</v>
      </c>
      <c r="F71" s="32">
        <v>46.01</v>
      </c>
      <c r="G71" s="30">
        <f t="shared" si="4"/>
        <v>59.74</v>
      </c>
      <c r="H71" s="31">
        <f>ROUND((E71*G71),2)</f>
        <v>119.48</v>
      </c>
    </row>
    <row r="72" spans="1:8" ht="11.25">
      <c r="A72" s="16"/>
      <c r="B72" s="1"/>
      <c r="C72" s="2"/>
      <c r="D72" s="20"/>
      <c r="E72" s="21"/>
      <c r="F72" s="32"/>
      <c r="G72" s="30"/>
      <c r="H72" s="31"/>
    </row>
    <row r="73" spans="1:8" ht="18.75" customHeight="1">
      <c r="A73" s="23">
        <v>12</v>
      </c>
      <c r="B73" s="13"/>
      <c r="C73" s="14" t="s">
        <v>122</v>
      </c>
      <c r="D73" s="36"/>
      <c r="E73" s="37"/>
      <c r="F73" s="38"/>
      <c r="G73" s="28"/>
      <c r="H73" s="29"/>
    </row>
    <row r="74" spans="1:8" ht="22.5">
      <c r="A74" s="16" t="s">
        <v>137</v>
      </c>
      <c r="B74" s="1" t="s">
        <v>66</v>
      </c>
      <c r="C74" s="2" t="s">
        <v>68</v>
      </c>
      <c r="D74" s="20" t="s">
        <v>110</v>
      </c>
      <c r="E74" s="21">
        <v>13</v>
      </c>
      <c r="F74" s="32">
        <v>163.17</v>
      </c>
      <c r="G74" s="30">
        <f t="shared" si="4"/>
        <v>211.86</v>
      </c>
      <c r="H74" s="31">
        <f>ROUND((E74*G74),2)</f>
        <v>2754.18</v>
      </c>
    </row>
    <row r="75" spans="1:8" ht="22.5">
      <c r="A75" s="16" t="s">
        <v>139</v>
      </c>
      <c r="B75" s="1" t="s">
        <v>67</v>
      </c>
      <c r="C75" s="2" t="s">
        <v>71</v>
      </c>
      <c r="D75" s="20" t="s">
        <v>110</v>
      </c>
      <c r="E75" s="21">
        <v>11</v>
      </c>
      <c r="F75" s="32">
        <v>151.32</v>
      </c>
      <c r="G75" s="30">
        <f t="shared" si="4"/>
        <v>196.47</v>
      </c>
      <c r="H75" s="31">
        <f>ROUND((E75*G75),2)</f>
        <v>2161.17</v>
      </c>
    </row>
    <row r="76" spans="1:8" ht="22.5">
      <c r="A76" s="16" t="s">
        <v>140</v>
      </c>
      <c r="B76" s="1" t="s">
        <v>81</v>
      </c>
      <c r="C76" s="2" t="s">
        <v>80</v>
      </c>
      <c r="D76" s="20" t="s">
        <v>110</v>
      </c>
      <c r="E76" s="21">
        <f>E74</f>
        <v>13</v>
      </c>
      <c r="F76" s="32">
        <v>195.17</v>
      </c>
      <c r="G76" s="30">
        <f t="shared" si="4"/>
        <v>253.41</v>
      </c>
      <c r="H76" s="31">
        <f>ROUND((E76*G76),2)</f>
        <v>3294.33</v>
      </c>
    </row>
    <row r="77" spans="1:8" ht="45">
      <c r="A77" s="16" t="s">
        <v>141</v>
      </c>
      <c r="B77" s="1" t="s">
        <v>102</v>
      </c>
      <c r="C77" s="2" t="s">
        <v>126</v>
      </c>
      <c r="D77" s="20" t="s">
        <v>110</v>
      </c>
      <c r="E77" s="21">
        <f>E74</f>
        <v>13</v>
      </c>
      <c r="F77" s="32">
        <v>54.07</v>
      </c>
      <c r="G77" s="30">
        <f t="shared" si="4"/>
        <v>70.2</v>
      </c>
      <c r="H77" s="31">
        <f>ROUND((E77*G77),2)</f>
        <v>912.6</v>
      </c>
    </row>
    <row r="78" spans="1:8" ht="11.25">
      <c r="A78" s="16"/>
      <c r="B78" s="1"/>
      <c r="C78" s="2"/>
      <c r="D78" s="20"/>
      <c r="E78" s="21"/>
      <c r="F78" s="32"/>
      <c r="G78" s="30"/>
      <c r="H78" s="31"/>
    </row>
    <row r="79" spans="1:8" ht="18.75" customHeight="1">
      <c r="A79" s="23">
        <v>13</v>
      </c>
      <c r="B79" s="13"/>
      <c r="C79" s="14" t="s">
        <v>70</v>
      </c>
      <c r="D79" s="36"/>
      <c r="E79" s="37"/>
      <c r="F79" s="38"/>
      <c r="G79" s="28"/>
      <c r="H79" s="29"/>
    </row>
    <row r="80" spans="1:8" ht="11.25">
      <c r="A80" s="16" t="s">
        <v>138</v>
      </c>
      <c r="B80" s="1" t="s">
        <v>69</v>
      </c>
      <c r="C80" s="2" t="s">
        <v>103</v>
      </c>
      <c r="D80" s="20" t="s">
        <v>106</v>
      </c>
      <c r="E80" s="21">
        <v>468.74</v>
      </c>
      <c r="F80" s="32">
        <v>4.6</v>
      </c>
      <c r="G80" s="30">
        <f t="shared" si="4"/>
        <v>5.97</v>
      </c>
      <c r="H80" s="31">
        <f>ROUND((E80*G80),2)</f>
        <v>2798.38</v>
      </c>
    </row>
    <row r="81" spans="1:8" ht="12" thickBot="1">
      <c r="A81" s="16"/>
      <c r="B81" s="1"/>
      <c r="C81" s="2"/>
      <c r="D81" s="20"/>
      <c r="E81" s="21"/>
      <c r="F81" s="32"/>
      <c r="G81" s="30"/>
      <c r="H81" s="31"/>
    </row>
    <row r="82" spans="1:8" ht="18" customHeight="1" thickBot="1">
      <c r="A82" s="96" t="s">
        <v>24</v>
      </c>
      <c r="B82" s="97"/>
      <c r="C82" s="97"/>
      <c r="D82" s="97"/>
      <c r="E82" s="97"/>
      <c r="F82" s="97"/>
      <c r="G82" s="98"/>
      <c r="H82" s="33">
        <f>SUM(H13:H80)</f>
        <v>484521.61999999994</v>
      </c>
    </row>
    <row r="83" spans="1:8" ht="30" customHeight="1">
      <c r="A83" s="101" t="s">
        <v>95</v>
      </c>
      <c r="B83" s="101"/>
      <c r="C83" s="101"/>
      <c r="D83" s="101"/>
      <c r="E83" s="101"/>
      <c r="F83" s="101"/>
      <c r="G83" s="101"/>
      <c r="H83" s="101"/>
    </row>
    <row r="84" spans="1:8" ht="12.75" customHeight="1">
      <c r="A84" s="99" t="s">
        <v>96</v>
      </c>
      <c r="B84" s="99"/>
      <c r="C84" s="99"/>
      <c r="D84" s="99"/>
      <c r="E84" s="99"/>
      <c r="F84" s="99"/>
      <c r="G84" s="99"/>
      <c r="H84" s="99"/>
    </row>
    <row r="85" spans="1:8" ht="12.75" customHeight="1">
      <c r="A85" s="102" t="s">
        <v>97</v>
      </c>
      <c r="B85" s="102"/>
      <c r="C85" s="102"/>
      <c r="D85" s="102"/>
      <c r="E85" s="102"/>
      <c r="F85" s="102"/>
      <c r="G85" s="102"/>
      <c r="H85" s="102"/>
    </row>
    <row r="86" spans="1:8" ht="12.75" customHeight="1">
      <c r="A86" s="102" t="s">
        <v>98</v>
      </c>
      <c r="B86" s="102"/>
      <c r="C86" s="102"/>
      <c r="D86" s="102"/>
      <c r="E86" s="102"/>
      <c r="F86" s="102"/>
      <c r="G86" s="102"/>
      <c r="H86" s="102"/>
    </row>
    <row r="87" spans="1:8" ht="30" customHeight="1">
      <c r="A87" s="101" t="s">
        <v>95</v>
      </c>
      <c r="B87" s="101"/>
      <c r="C87" s="101"/>
      <c r="D87" s="101"/>
      <c r="E87" s="101"/>
      <c r="F87" s="101"/>
      <c r="G87" s="101"/>
      <c r="H87" s="101"/>
    </row>
    <row r="88" spans="1:8" ht="11.25">
      <c r="A88" s="99" t="s">
        <v>99</v>
      </c>
      <c r="B88" s="99"/>
      <c r="C88" s="99"/>
      <c r="D88" s="99"/>
      <c r="E88" s="99"/>
      <c r="F88" s="99"/>
      <c r="G88" s="99"/>
      <c r="H88" s="99"/>
    </row>
    <row r="89" spans="1:8" ht="12.75" customHeight="1">
      <c r="A89" s="89" t="s">
        <v>100</v>
      </c>
      <c r="B89" s="89"/>
      <c r="C89" s="89"/>
      <c r="D89" s="89"/>
      <c r="E89" s="89"/>
      <c r="F89" s="89"/>
      <c r="G89" s="89"/>
      <c r="H89" s="89"/>
    </row>
    <row r="90" spans="1:8" ht="11.25">
      <c r="A90" s="26"/>
      <c r="B90" s="26"/>
      <c r="C90" s="26"/>
      <c r="D90" s="26"/>
      <c r="E90" s="26"/>
      <c r="F90" s="26"/>
      <c r="G90" s="26"/>
      <c r="H90" s="26"/>
    </row>
    <row r="91" s="26" customFormat="1" ht="11.25" customHeight="1"/>
    <row r="92" s="26" customFormat="1" ht="12" customHeight="1"/>
    <row r="93" s="26" customFormat="1" ht="13.5" customHeight="1"/>
    <row r="94" ht="13.5" customHeight="1"/>
    <row r="95" ht="4.5" customHeight="1"/>
  </sheetData>
  <sheetProtection/>
  <mergeCells count="22">
    <mergeCell ref="A5:E5"/>
    <mergeCell ref="A7:D7"/>
    <mergeCell ref="A86:H86"/>
    <mergeCell ref="A85:H85"/>
    <mergeCell ref="A87:H87"/>
    <mergeCell ref="A1:H1"/>
    <mergeCell ref="A6:E6"/>
    <mergeCell ref="E7:H7"/>
    <mergeCell ref="A3:H3"/>
    <mergeCell ref="F5:H5"/>
    <mergeCell ref="A2:H2"/>
    <mergeCell ref="F6:H6"/>
    <mergeCell ref="F8:F9"/>
    <mergeCell ref="E8:E9"/>
    <mergeCell ref="A89:H89"/>
    <mergeCell ref="A9:D9"/>
    <mergeCell ref="A8:D8"/>
    <mergeCell ref="A82:G82"/>
    <mergeCell ref="A88:H88"/>
    <mergeCell ref="A10:H10"/>
    <mergeCell ref="A84:H84"/>
    <mergeCell ref="A83:H83"/>
  </mergeCells>
  <printOptions horizontalCentered="1"/>
  <pageMargins left="0.3937007874015748" right="0.3937007874015748" top="0.7874015748031497" bottom="0.7874015748031497" header="0" footer="0"/>
  <pageSetup fitToHeight="0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showGridLines="0" showZeros="0" view="pageBreakPreview" zoomScaleSheetLayoutView="100" zoomScalePageLayoutView="0" workbookViewId="0" topLeftCell="A28">
      <selection activeCell="A5" sqref="A5:K5"/>
    </sheetView>
  </sheetViews>
  <sheetFormatPr defaultColWidth="9.140625" defaultRowHeight="12.75"/>
  <cols>
    <col min="1" max="1" width="12.140625" style="39" customWidth="1"/>
    <col min="2" max="2" width="11.140625" style="39" customWidth="1"/>
    <col min="3" max="3" width="68.00390625" style="39" customWidth="1"/>
    <col min="4" max="4" width="14.28125" style="82" customWidth="1"/>
    <col min="5" max="5" width="15.57421875" style="82" bestFit="1" customWidth="1"/>
    <col min="6" max="6" width="14.28125" style="39" bestFit="1" customWidth="1"/>
    <col min="7" max="7" width="13.8515625" style="39" bestFit="1" customWidth="1"/>
    <col min="8" max="8" width="16.28125" style="39" bestFit="1" customWidth="1"/>
    <col min="9" max="11" width="13.8515625" style="39" bestFit="1" customWidth="1"/>
    <col min="12" max="16384" width="9.140625" style="39" customWidth="1"/>
  </cols>
  <sheetData>
    <row r="1" spans="1:11" ht="52.5" customHeight="1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4.5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ht="15.75" customHeight="1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</row>
    <row r="4" spans="1:11" ht="4.5" customHeight="1" thickBot="1">
      <c r="A4" s="40"/>
      <c r="B4" s="40"/>
      <c r="C4" s="40"/>
      <c r="D4" s="41"/>
      <c r="E4" s="41"/>
      <c r="F4" s="40"/>
      <c r="G4" s="40"/>
      <c r="H4" s="40"/>
      <c r="I4" s="40"/>
      <c r="J4" s="40"/>
      <c r="K4" s="40"/>
    </row>
    <row r="5" spans="1:11" ht="18" customHeight="1" thickBot="1">
      <c r="A5" s="151" t="s">
        <v>173</v>
      </c>
      <c r="B5" s="152"/>
      <c r="C5" s="152"/>
      <c r="D5" s="152"/>
      <c r="E5" s="152"/>
      <c r="F5" s="152"/>
      <c r="G5" s="152"/>
      <c r="H5" s="152"/>
      <c r="I5" s="152"/>
      <c r="J5" s="152"/>
      <c r="K5" s="153"/>
    </row>
    <row r="6" spans="1:11" ht="4.5" customHeight="1" thickBot="1">
      <c r="A6" s="40"/>
      <c r="B6" s="40"/>
      <c r="C6" s="40"/>
      <c r="D6" s="41"/>
      <c r="E6" s="41"/>
      <c r="F6" s="40"/>
      <c r="G6" s="40"/>
      <c r="H6" s="40"/>
      <c r="I6" s="40"/>
      <c r="J6" s="40"/>
      <c r="K6" s="40"/>
    </row>
    <row r="7" spans="1:11" s="44" customFormat="1" ht="18" customHeight="1">
      <c r="A7" s="154" t="s">
        <v>190</v>
      </c>
      <c r="B7" s="155"/>
      <c r="C7" s="156"/>
      <c r="D7" s="42" t="s">
        <v>174</v>
      </c>
      <c r="E7" s="43"/>
      <c r="F7" s="157">
        <f>'Planilha Orcamentária'!$H$82</f>
        <v>484521.61999999994</v>
      </c>
      <c r="G7" s="157"/>
      <c r="H7" s="158"/>
      <c r="I7" s="159" t="s">
        <v>94</v>
      </c>
      <c r="J7" s="159"/>
      <c r="K7" s="160"/>
    </row>
    <row r="8" spans="1:11" s="44" customFormat="1" ht="29.25" customHeight="1" thickBot="1">
      <c r="A8" s="161" t="s">
        <v>191</v>
      </c>
      <c r="B8" s="162"/>
      <c r="C8" s="163"/>
      <c r="D8" s="164" t="s">
        <v>92</v>
      </c>
      <c r="E8" s="165"/>
      <c r="F8" s="165"/>
      <c r="G8" s="165"/>
      <c r="H8" s="166"/>
      <c r="I8" s="167" t="s">
        <v>175</v>
      </c>
      <c r="J8" s="162"/>
      <c r="K8" s="168"/>
    </row>
    <row r="9" spans="1:11" s="44" customFormat="1" ht="36" customHeight="1">
      <c r="A9" s="45" t="s">
        <v>0</v>
      </c>
      <c r="B9" s="46" t="s">
        <v>5</v>
      </c>
      <c r="C9" s="46" t="s">
        <v>176</v>
      </c>
      <c r="D9" s="47" t="s">
        <v>177</v>
      </c>
      <c r="E9" s="47" t="s">
        <v>178</v>
      </c>
      <c r="F9" s="46" t="s">
        <v>179</v>
      </c>
      <c r="G9" s="46" t="s">
        <v>180</v>
      </c>
      <c r="H9" s="46" t="s">
        <v>181</v>
      </c>
      <c r="I9" s="46" t="s">
        <v>182</v>
      </c>
      <c r="J9" s="46" t="s">
        <v>183</v>
      </c>
      <c r="K9" s="48" t="s">
        <v>184</v>
      </c>
    </row>
    <row r="10" spans="1:11" ht="14.25" customHeight="1">
      <c r="A10" s="143">
        <v>1</v>
      </c>
      <c r="B10" s="148"/>
      <c r="C10" s="149" t="str">
        <f>'[1]Planilha Orcamentária'!$C$12</f>
        <v>INSTALAÇÕES INICIAIS DA OBRA</v>
      </c>
      <c r="D10" s="49" t="s">
        <v>185</v>
      </c>
      <c r="E10" s="50">
        <f>E11/$E$37</f>
        <v>0.010792810442596968</v>
      </c>
      <c r="F10" s="51">
        <v>1</v>
      </c>
      <c r="G10" s="52"/>
      <c r="H10" s="52"/>
      <c r="I10" s="53"/>
      <c r="J10" s="54"/>
      <c r="K10" s="55"/>
    </row>
    <row r="11" spans="1:11" ht="14.25" customHeight="1">
      <c r="A11" s="144"/>
      <c r="B11" s="146"/>
      <c r="C11" s="147"/>
      <c r="D11" s="56" t="s">
        <v>186</v>
      </c>
      <c r="E11" s="57">
        <f>SUM('Planilha Orcamentária'!H13:H14)</f>
        <v>5229.35</v>
      </c>
      <c r="F11" s="58">
        <f aca="true" t="shared" si="0" ref="F11:K11">F10*$E$11</f>
        <v>5229.35</v>
      </c>
      <c r="G11" s="58">
        <f t="shared" si="0"/>
        <v>0</v>
      </c>
      <c r="H11" s="58">
        <f t="shared" si="0"/>
        <v>0</v>
      </c>
      <c r="I11" s="58">
        <f t="shared" si="0"/>
        <v>0</v>
      </c>
      <c r="J11" s="58">
        <f t="shared" si="0"/>
        <v>0</v>
      </c>
      <c r="K11" s="59">
        <f t="shared" si="0"/>
        <v>0</v>
      </c>
    </row>
    <row r="12" spans="1:11" ht="14.25" customHeight="1">
      <c r="A12" s="143">
        <v>2</v>
      </c>
      <c r="B12" s="145"/>
      <c r="C12" s="147" t="s">
        <v>131</v>
      </c>
      <c r="D12" s="56" t="s">
        <v>185</v>
      </c>
      <c r="E12" s="50">
        <f>E13/$E$37</f>
        <v>0.16533282869812907</v>
      </c>
      <c r="F12" s="51">
        <v>0.5</v>
      </c>
      <c r="G12" s="51">
        <v>0.5</v>
      </c>
      <c r="H12" s="51"/>
      <c r="I12" s="60"/>
      <c r="J12" s="50"/>
      <c r="K12" s="61"/>
    </row>
    <row r="13" spans="1:11" ht="14.25" customHeight="1">
      <c r="A13" s="144"/>
      <c r="B13" s="146"/>
      <c r="C13" s="147"/>
      <c r="D13" s="56" t="s">
        <v>186</v>
      </c>
      <c r="E13" s="57">
        <f>SUM('Planilha Orcamentária'!H17:H25)</f>
        <v>80107.33</v>
      </c>
      <c r="F13" s="58">
        <f aca="true" t="shared" si="1" ref="F13:K13">F12*$E$13</f>
        <v>40053.665</v>
      </c>
      <c r="G13" s="58">
        <f t="shared" si="1"/>
        <v>40053.665</v>
      </c>
      <c r="H13" s="58">
        <f t="shared" si="1"/>
        <v>0</v>
      </c>
      <c r="I13" s="58">
        <f t="shared" si="1"/>
        <v>0</v>
      </c>
      <c r="J13" s="58">
        <f t="shared" si="1"/>
        <v>0</v>
      </c>
      <c r="K13" s="59">
        <f t="shared" si="1"/>
        <v>0</v>
      </c>
    </row>
    <row r="14" spans="1:11" ht="14.25" customHeight="1">
      <c r="A14" s="143">
        <v>3</v>
      </c>
      <c r="B14" s="145"/>
      <c r="C14" s="147" t="s">
        <v>129</v>
      </c>
      <c r="D14" s="56" t="s">
        <v>185</v>
      </c>
      <c r="E14" s="50">
        <f>E15/$E$37</f>
        <v>0.16861852315279552</v>
      </c>
      <c r="F14" s="52"/>
      <c r="G14" s="52"/>
      <c r="H14" s="52"/>
      <c r="I14" s="60">
        <v>0.6</v>
      </c>
      <c r="J14" s="50">
        <v>0.4</v>
      </c>
      <c r="K14" s="61"/>
    </row>
    <row r="15" spans="1:11" ht="14.25" customHeight="1">
      <c r="A15" s="144"/>
      <c r="B15" s="146"/>
      <c r="C15" s="147"/>
      <c r="D15" s="56" t="s">
        <v>186</v>
      </c>
      <c r="E15" s="57">
        <f>SUM('Planilha Orcamentária'!H28)</f>
        <v>81699.32</v>
      </c>
      <c r="F15" s="58">
        <f aca="true" t="shared" si="2" ref="F15:K15">F14*$E$15</f>
        <v>0</v>
      </c>
      <c r="G15" s="58">
        <f t="shared" si="2"/>
        <v>0</v>
      </c>
      <c r="H15" s="58">
        <f t="shared" si="2"/>
        <v>0</v>
      </c>
      <c r="I15" s="58">
        <f t="shared" si="2"/>
        <v>49019.592000000004</v>
      </c>
      <c r="J15" s="58">
        <f t="shared" si="2"/>
        <v>32679.728000000003</v>
      </c>
      <c r="K15" s="59">
        <f t="shared" si="2"/>
        <v>0</v>
      </c>
    </row>
    <row r="16" spans="1:11" ht="14.25" customHeight="1">
      <c r="A16" s="143">
        <v>4</v>
      </c>
      <c r="B16" s="145"/>
      <c r="C16" s="147" t="s">
        <v>36</v>
      </c>
      <c r="D16" s="56" t="s">
        <v>185</v>
      </c>
      <c r="E16" s="50">
        <f>E17/$E$37</f>
        <v>0.0475068790531989</v>
      </c>
      <c r="F16" s="52"/>
      <c r="G16" s="52"/>
      <c r="H16" s="52"/>
      <c r="I16" s="53"/>
      <c r="J16" s="54"/>
      <c r="K16" s="61">
        <v>1</v>
      </c>
    </row>
    <row r="17" spans="1:11" ht="14.25" customHeight="1">
      <c r="A17" s="144"/>
      <c r="B17" s="146"/>
      <c r="C17" s="147"/>
      <c r="D17" s="56" t="s">
        <v>186</v>
      </c>
      <c r="E17" s="57">
        <f>SUM('Planilha Orcamentária'!H31:H33)</f>
        <v>23018.11</v>
      </c>
      <c r="F17" s="58">
        <f>F16*$E$15</f>
        <v>0</v>
      </c>
      <c r="G17" s="58">
        <f>G16*$E$15</f>
        <v>0</v>
      </c>
      <c r="H17" s="58">
        <f>H16*$E$15</f>
        <v>0</v>
      </c>
      <c r="I17" s="58">
        <f>I16*$E$15</f>
        <v>0</v>
      </c>
      <c r="J17" s="58">
        <f>J16*$E$15</f>
        <v>0</v>
      </c>
      <c r="K17" s="59">
        <f>E17</f>
        <v>23018.11</v>
      </c>
    </row>
    <row r="18" spans="1:11" ht="14.25" customHeight="1">
      <c r="A18" s="143">
        <v>5</v>
      </c>
      <c r="B18" s="145"/>
      <c r="C18" s="147" t="s">
        <v>41</v>
      </c>
      <c r="D18" s="56" t="s">
        <v>185</v>
      </c>
      <c r="E18" s="50">
        <f>E19/$E$37</f>
        <v>0.1004742781137403</v>
      </c>
      <c r="F18" s="52"/>
      <c r="G18" s="51">
        <v>0.2</v>
      </c>
      <c r="H18" s="51">
        <v>0.2</v>
      </c>
      <c r="I18" s="60">
        <v>0.3</v>
      </c>
      <c r="J18" s="50">
        <v>0.3</v>
      </c>
      <c r="K18" s="55"/>
    </row>
    <row r="19" spans="1:11" ht="14.25" customHeight="1">
      <c r="A19" s="144"/>
      <c r="B19" s="146"/>
      <c r="C19" s="147"/>
      <c r="D19" s="56" t="s">
        <v>186</v>
      </c>
      <c r="E19" s="57">
        <f>SUM('Planilha Orcamentária'!H36:H41)</f>
        <v>48681.96</v>
      </c>
      <c r="F19" s="58">
        <f aca="true" t="shared" si="3" ref="F19:K19">F18*$E$19</f>
        <v>0</v>
      </c>
      <c r="G19" s="58">
        <f t="shared" si="3"/>
        <v>9736.392</v>
      </c>
      <c r="H19" s="58">
        <f t="shared" si="3"/>
        <v>9736.392</v>
      </c>
      <c r="I19" s="58">
        <f t="shared" si="3"/>
        <v>14604.588</v>
      </c>
      <c r="J19" s="58">
        <f t="shared" si="3"/>
        <v>14604.588</v>
      </c>
      <c r="K19" s="59">
        <f t="shared" si="3"/>
        <v>0</v>
      </c>
    </row>
    <row r="20" spans="1:11" ht="14.25" customHeight="1">
      <c r="A20" s="143">
        <v>6</v>
      </c>
      <c r="B20" s="145"/>
      <c r="C20" s="147" t="s">
        <v>193</v>
      </c>
      <c r="D20" s="56" t="s">
        <v>185</v>
      </c>
      <c r="E20" s="50">
        <f>E21/$E$37</f>
        <v>0.13626570471715996</v>
      </c>
      <c r="F20" s="52"/>
      <c r="G20" s="51">
        <v>0.4</v>
      </c>
      <c r="H20" s="51">
        <v>0.3</v>
      </c>
      <c r="I20" s="60">
        <v>0</v>
      </c>
      <c r="J20" s="50"/>
      <c r="K20" s="61">
        <v>0.3</v>
      </c>
    </row>
    <row r="21" spans="1:11" ht="14.25" customHeight="1">
      <c r="A21" s="144"/>
      <c r="B21" s="146"/>
      <c r="C21" s="147"/>
      <c r="D21" s="56" t="s">
        <v>186</v>
      </c>
      <c r="E21" s="57">
        <f>SUM('Planilha Orcamentária'!H44:H45)</f>
        <v>66023.68</v>
      </c>
      <c r="F21" s="58">
        <f>F20*$E$21</f>
        <v>0</v>
      </c>
      <c r="G21" s="58">
        <f>G20*$E$21</f>
        <v>26409.471999999998</v>
      </c>
      <c r="H21" s="58">
        <f>H20*$E$21</f>
        <v>19807.103999999996</v>
      </c>
      <c r="I21" s="58">
        <f>I20*$E$21</f>
        <v>0</v>
      </c>
      <c r="J21" s="58"/>
      <c r="K21" s="59">
        <f>K20*$E$21</f>
        <v>19807.103999999996</v>
      </c>
    </row>
    <row r="22" spans="1:11" ht="14.25" customHeight="1">
      <c r="A22" s="143">
        <v>7</v>
      </c>
      <c r="B22" s="145"/>
      <c r="C22" s="147" t="s">
        <v>124</v>
      </c>
      <c r="D22" s="56" t="s">
        <v>185</v>
      </c>
      <c r="E22" s="50">
        <f>E23/$E$37</f>
        <v>0.01279874776279333</v>
      </c>
      <c r="F22" s="52"/>
      <c r="G22" s="52"/>
      <c r="H22" s="51">
        <v>1</v>
      </c>
      <c r="I22" s="60">
        <v>0</v>
      </c>
      <c r="J22" s="50">
        <v>0</v>
      </c>
      <c r="K22" s="55"/>
    </row>
    <row r="23" spans="1:11" ht="14.25" customHeight="1">
      <c r="A23" s="144"/>
      <c r="B23" s="146"/>
      <c r="C23" s="147"/>
      <c r="D23" s="56" t="s">
        <v>186</v>
      </c>
      <c r="E23" s="57">
        <f>SUM('Planilha Orcamentária'!H48:H49)</f>
        <v>6201.27</v>
      </c>
      <c r="F23" s="58">
        <f aca="true" t="shared" si="4" ref="F23:K23">F22*$E$23</f>
        <v>0</v>
      </c>
      <c r="G23" s="58">
        <f t="shared" si="4"/>
        <v>0</v>
      </c>
      <c r="H23" s="58">
        <f t="shared" si="4"/>
        <v>6201.27</v>
      </c>
      <c r="I23" s="58">
        <f t="shared" si="4"/>
        <v>0</v>
      </c>
      <c r="J23" s="58">
        <f t="shared" si="4"/>
        <v>0</v>
      </c>
      <c r="K23" s="59">
        <f t="shared" si="4"/>
        <v>0</v>
      </c>
    </row>
    <row r="24" spans="1:11" ht="14.25" customHeight="1">
      <c r="A24" s="143">
        <v>8</v>
      </c>
      <c r="B24" s="145"/>
      <c r="C24" s="147" t="s">
        <v>117</v>
      </c>
      <c r="D24" s="56" t="s">
        <v>185</v>
      </c>
      <c r="E24" s="50">
        <f>E25/$E$37</f>
        <v>0.07972209784983382</v>
      </c>
      <c r="F24" s="52"/>
      <c r="G24" s="52"/>
      <c r="H24" s="52"/>
      <c r="I24" s="53"/>
      <c r="J24" s="50">
        <v>0.8</v>
      </c>
      <c r="K24" s="61">
        <v>0.2</v>
      </c>
    </row>
    <row r="25" spans="1:11" ht="14.25" customHeight="1">
      <c r="A25" s="144"/>
      <c r="B25" s="146"/>
      <c r="C25" s="147"/>
      <c r="D25" s="56" t="s">
        <v>186</v>
      </c>
      <c r="E25" s="57">
        <f>SUM('Planilha Orcamentária'!H52:H54)</f>
        <v>38627.08</v>
      </c>
      <c r="F25" s="58">
        <f aca="true" t="shared" si="5" ref="F25:K25">F24*$E$25</f>
        <v>0</v>
      </c>
      <c r="G25" s="58">
        <f t="shared" si="5"/>
        <v>0</v>
      </c>
      <c r="H25" s="58">
        <f t="shared" si="5"/>
        <v>0</v>
      </c>
      <c r="I25" s="58">
        <f t="shared" si="5"/>
        <v>0</v>
      </c>
      <c r="J25" s="58">
        <f t="shared" si="5"/>
        <v>30901.664000000004</v>
      </c>
      <c r="K25" s="59">
        <f t="shared" si="5"/>
        <v>7725.416000000001</v>
      </c>
    </row>
    <row r="26" spans="1:11" ht="14.25" customHeight="1">
      <c r="A26" s="143">
        <v>9</v>
      </c>
      <c r="B26" s="145"/>
      <c r="C26" s="147" t="s">
        <v>57</v>
      </c>
      <c r="D26" s="56" t="s">
        <v>185</v>
      </c>
      <c r="E26" s="50">
        <f>E27/$E$37</f>
        <v>0.20233445929616103</v>
      </c>
      <c r="F26" s="62"/>
      <c r="G26" s="62"/>
      <c r="H26" s="51">
        <v>0.7</v>
      </c>
      <c r="I26" s="51">
        <v>0.3</v>
      </c>
      <c r="J26" s="50"/>
      <c r="K26" s="63"/>
    </row>
    <row r="27" spans="1:11" ht="14.25" customHeight="1">
      <c r="A27" s="144"/>
      <c r="B27" s="146"/>
      <c r="C27" s="147"/>
      <c r="D27" s="56" t="s">
        <v>186</v>
      </c>
      <c r="E27" s="57">
        <f>SUM('Planilha Orcamentária'!H57:H61)</f>
        <v>98035.42000000001</v>
      </c>
      <c r="F27" s="64"/>
      <c r="G27" s="64"/>
      <c r="H27" s="58">
        <f>H26*E27</f>
        <v>68624.79400000001</v>
      </c>
      <c r="I27" s="58">
        <f>I26*E27</f>
        <v>29410.626000000004</v>
      </c>
      <c r="J27" s="58">
        <f>J26*E27</f>
        <v>0</v>
      </c>
      <c r="K27" s="65"/>
    </row>
    <row r="28" spans="1:11" ht="14.25" customHeight="1">
      <c r="A28" s="143">
        <v>10</v>
      </c>
      <c r="B28" s="145"/>
      <c r="C28" s="147" t="s">
        <v>62</v>
      </c>
      <c r="D28" s="56" t="s">
        <v>185</v>
      </c>
      <c r="E28" s="50">
        <f>E29/$E$37</f>
        <v>0.0495045608078335</v>
      </c>
      <c r="F28" s="62"/>
      <c r="G28" s="62"/>
      <c r="H28" s="62"/>
      <c r="I28" s="62"/>
      <c r="J28" s="51">
        <v>0.5</v>
      </c>
      <c r="K28" s="66">
        <v>0.5</v>
      </c>
    </row>
    <row r="29" spans="1:11" ht="14.25" customHeight="1">
      <c r="A29" s="144"/>
      <c r="B29" s="146"/>
      <c r="C29" s="147"/>
      <c r="D29" s="56" t="s">
        <v>186</v>
      </c>
      <c r="E29" s="57">
        <f>SUM('Planilha Orcamentária'!H64:H65)</f>
        <v>23986.03</v>
      </c>
      <c r="F29" s="64"/>
      <c r="G29" s="64"/>
      <c r="H29" s="64"/>
      <c r="I29" s="64"/>
      <c r="J29" s="58">
        <f>J28*E29</f>
        <v>11993.015</v>
      </c>
      <c r="K29" s="59">
        <f>K28*E29</f>
        <v>11993.015</v>
      </c>
    </row>
    <row r="30" spans="1:11" ht="14.25" customHeight="1">
      <c r="A30" s="143">
        <v>11</v>
      </c>
      <c r="B30" s="145"/>
      <c r="C30" s="147" t="s">
        <v>118</v>
      </c>
      <c r="D30" s="56" t="s">
        <v>185</v>
      </c>
      <c r="E30" s="50">
        <f>E31/$E$37</f>
        <v>0.0020461625633960354</v>
      </c>
      <c r="F30" s="62"/>
      <c r="G30" s="62"/>
      <c r="H30" s="62"/>
      <c r="I30" s="51">
        <v>0.3</v>
      </c>
      <c r="J30" s="51">
        <v>0.4</v>
      </c>
      <c r="K30" s="66">
        <v>0.3</v>
      </c>
    </row>
    <row r="31" spans="1:11" ht="14.25" customHeight="1">
      <c r="A31" s="144"/>
      <c r="B31" s="146"/>
      <c r="C31" s="147"/>
      <c r="D31" s="56" t="s">
        <v>186</v>
      </c>
      <c r="E31" s="57">
        <f>SUM('Planilha Orcamentária'!H68:H71)</f>
        <v>991.41</v>
      </c>
      <c r="F31" s="58">
        <f>F30*$E$31</f>
        <v>0</v>
      </c>
      <c r="G31" s="58">
        <f>G30*$E$31</f>
        <v>0</v>
      </c>
      <c r="H31" s="58">
        <f>H30*$E$31</f>
        <v>0</v>
      </c>
      <c r="I31" s="58">
        <f>I30*$E$31</f>
        <v>297.423</v>
      </c>
      <c r="J31" s="58">
        <f>J30*E31</f>
        <v>396.564</v>
      </c>
      <c r="K31" s="59">
        <f>K30*E31</f>
        <v>297.423</v>
      </c>
    </row>
    <row r="32" spans="1:11" ht="14.25" customHeight="1">
      <c r="A32" s="143">
        <v>12</v>
      </c>
      <c r="B32" s="145"/>
      <c r="C32" s="147" t="s">
        <v>122</v>
      </c>
      <c r="D32" s="56" t="s">
        <v>185</v>
      </c>
      <c r="E32" s="50">
        <f>E33/$E$37</f>
        <v>0.018827395153182224</v>
      </c>
      <c r="F32" s="62"/>
      <c r="G32" s="62"/>
      <c r="H32" s="62"/>
      <c r="I32" s="62"/>
      <c r="J32" s="51">
        <v>0.5</v>
      </c>
      <c r="K32" s="66">
        <v>0.5</v>
      </c>
    </row>
    <row r="33" spans="1:11" ht="14.25" customHeight="1">
      <c r="A33" s="144"/>
      <c r="B33" s="146"/>
      <c r="C33" s="147"/>
      <c r="D33" s="56" t="s">
        <v>186</v>
      </c>
      <c r="E33" s="57">
        <f>SUM('Planilha Orcamentária'!H74:H77)</f>
        <v>9122.28</v>
      </c>
      <c r="F33" s="58">
        <f>F32*$E$33</f>
        <v>0</v>
      </c>
      <c r="G33" s="58">
        <f>G32*$E$33</f>
        <v>0</v>
      </c>
      <c r="H33" s="58">
        <f>H32*$E$33</f>
        <v>0</v>
      </c>
      <c r="I33" s="83">
        <f>I32*$E$33</f>
        <v>0</v>
      </c>
      <c r="J33" s="58">
        <f>J32*E33</f>
        <v>4561.14</v>
      </c>
      <c r="K33" s="59">
        <f>K32*E33</f>
        <v>4561.14</v>
      </c>
    </row>
    <row r="34" spans="1:11" ht="14.25" customHeight="1">
      <c r="A34" s="143">
        <v>13</v>
      </c>
      <c r="B34" s="145"/>
      <c r="C34" s="147" t="s">
        <v>70</v>
      </c>
      <c r="D34" s="56" t="s">
        <v>185</v>
      </c>
      <c r="E34" s="50">
        <f>E35/$E$37</f>
        <v>0.0057755523891792485</v>
      </c>
      <c r="F34" s="62"/>
      <c r="G34" s="62"/>
      <c r="H34" s="62"/>
      <c r="I34" s="62"/>
      <c r="J34" s="51"/>
      <c r="K34" s="66">
        <v>1</v>
      </c>
    </row>
    <row r="35" spans="1:11" ht="14.25" customHeight="1">
      <c r="A35" s="144"/>
      <c r="B35" s="146"/>
      <c r="C35" s="147"/>
      <c r="D35" s="56" t="s">
        <v>186</v>
      </c>
      <c r="E35" s="57">
        <f>'Planilha Orcamentária'!H80</f>
        <v>2798.38</v>
      </c>
      <c r="F35" s="62"/>
      <c r="G35" s="62"/>
      <c r="H35" s="62"/>
      <c r="I35" s="62"/>
      <c r="J35" s="51"/>
      <c r="K35" s="65">
        <f>K34*E35</f>
        <v>2798.38</v>
      </c>
    </row>
    <row r="36" spans="1:11" ht="14.25" customHeight="1">
      <c r="A36" s="131" t="s">
        <v>187</v>
      </c>
      <c r="B36" s="132"/>
      <c r="C36" s="133"/>
      <c r="D36" s="67" t="s">
        <v>185</v>
      </c>
      <c r="E36" s="68">
        <f>E10+E12+E14+E16+E18+E20+E22+E24+E26+E28+E30+E32+E34</f>
        <v>0.9999999999999999</v>
      </c>
      <c r="F36" s="68">
        <f aca="true" t="shared" si="6" ref="F36:K36">F37/$E$37</f>
        <v>0.09345922479166151</v>
      </c>
      <c r="G36" s="68">
        <f t="shared" si="6"/>
        <v>0.15726755185867658</v>
      </c>
      <c r="H36" s="68">
        <f t="shared" si="6"/>
        <v>0.21540743630800208</v>
      </c>
      <c r="I36" s="68">
        <f t="shared" si="6"/>
        <v>0.19262758388366652</v>
      </c>
      <c r="J36" s="68">
        <f t="shared" si="6"/>
        <v>0.19635181398097365</v>
      </c>
      <c r="K36" s="69">
        <f t="shared" si="6"/>
        <v>0.1448863891770196</v>
      </c>
    </row>
    <row r="37" spans="1:11" ht="13.5" customHeight="1" thickBot="1">
      <c r="A37" s="134"/>
      <c r="B37" s="135"/>
      <c r="C37" s="136"/>
      <c r="D37" s="70" t="s">
        <v>186</v>
      </c>
      <c r="E37" s="71">
        <f>E11+E13+E15+E17+E19+E21+E23+E25+E27+E29+E31+E33+E35</f>
        <v>484521.62000000005</v>
      </c>
      <c r="F37" s="71">
        <f aca="true" t="shared" si="7" ref="F37:K37">F11+F13+F15+F17+F19+F21+F23+F25+F27+F29+F31+F33+F35</f>
        <v>45283.015</v>
      </c>
      <c r="G37" s="71">
        <f t="shared" si="7"/>
        <v>76199.529</v>
      </c>
      <c r="H37" s="71">
        <f t="shared" si="7"/>
        <v>104369.56</v>
      </c>
      <c r="I37" s="71">
        <f t="shared" si="7"/>
        <v>93332.229</v>
      </c>
      <c r="J37" s="71">
        <f t="shared" si="7"/>
        <v>95136.69900000001</v>
      </c>
      <c r="K37" s="72">
        <f t="shared" si="7"/>
        <v>70200.588</v>
      </c>
    </row>
    <row r="38" spans="1:11" ht="4.5" customHeight="1" thickBot="1">
      <c r="A38" s="40"/>
      <c r="B38" s="40"/>
      <c r="C38" s="40"/>
      <c r="D38" s="41"/>
      <c r="E38" s="41"/>
      <c r="F38" s="40"/>
      <c r="G38" s="40"/>
      <c r="H38" s="40"/>
      <c r="I38" s="40"/>
      <c r="J38" s="40"/>
      <c r="K38" s="40"/>
    </row>
    <row r="39" spans="1:13" s="44" customFormat="1" ht="30" customHeight="1">
      <c r="A39" s="126" t="s">
        <v>95</v>
      </c>
      <c r="B39" s="127"/>
      <c r="C39" s="127"/>
      <c r="D39" s="127"/>
      <c r="E39" s="127"/>
      <c r="F39" s="127"/>
      <c r="G39" s="128"/>
      <c r="H39" s="84" t="s">
        <v>189</v>
      </c>
      <c r="I39" s="73"/>
      <c r="J39" s="73"/>
      <c r="K39" s="74"/>
      <c r="M39" s="44" t="s">
        <v>188</v>
      </c>
    </row>
    <row r="40" spans="1:11" s="44" customFormat="1" ht="12.75">
      <c r="A40" s="123" t="s">
        <v>96</v>
      </c>
      <c r="B40" s="124"/>
      <c r="C40" s="124"/>
      <c r="D40" s="124"/>
      <c r="E40" s="124"/>
      <c r="F40" s="124"/>
      <c r="G40" s="125"/>
      <c r="H40" s="75"/>
      <c r="I40" s="76"/>
      <c r="J40" s="76"/>
      <c r="K40" s="77"/>
    </row>
    <row r="41" spans="1:11" s="44" customFormat="1" ht="12.75">
      <c r="A41" s="140" t="s">
        <v>192</v>
      </c>
      <c r="B41" s="141"/>
      <c r="C41" s="141"/>
      <c r="D41" s="141"/>
      <c r="E41" s="141"/>
      <c r="F41" s="141"/>
      <c r="G41" s="142"/>
      <c r="H41" s="78"/>
      <c r="I41" s="76"/>
      <c r="J41" s="76"/>
      <c r="K41" s="77"/>
    </row>
    <row r="42" spans="1:11" s="44" customFormat="1" ht="12.75">
      <c r="A42" s="140" t="s">
        <v>98</v>
      </c>
      <c r="B42" s="141"/>
      <c r="C42" s="141"/>
      <c r="D42" s="141"/>
      <c r="E42" s="141"/>
      <c r="F42" s="141"/>
      <c r="G42" s="142"/>
      <c r="H42" s="78"/>
      <c r="I42" s="76"/>
      <c r="J42" s="76"/>
      <c r="K42" s="77"/>
    </row>
    <row r="43" spans="1:11" s="44" customFormat="1" ht="30" customHeight="1">
      <c r="A43" s="129" t="s">
        <v>95</v>
      </c>
      <c r="B43" s="129"/>
      <c r="C43" s="129"/>
      <c r="D43" s="129"/>
      <c r="E43" s="129"/>
      <c r="F43" s="129"/>
      <c r="G43" s="130"/>
      <c r="H43" s="78"/>
      <c r="I43" s="76"/>
      <c r="J43" s="76"/>
      <c r="K43" s="77"/>
    </row>
    <row r="44" spans="1:11" s="44" customFormat="1" ht="12.75">
      <c r="A44" s="140" t="s">
        <v>99</v>
      </c>
      <c r="B44" s="141"/>
      <c r="C44" s="141"/>
      <c r="D44" s="141"/>
      <c r="E44" s="141"/>
      <c r="F44" s="141"/>
      <c r="G44" s="142"/>
      <c r="H44" s="78"/>
      <c r="I44" s="76"/>
      <c r="J44" s="76"/>
      <c r="K44" s="77"/>
    </row>
    <row r="45" spans="1:11" s="44" customFormat="1" ht="13.5" thickBot="1">
      <c r="A45" s="137" t="s">
        <v>100</v>
      </c>
      <c r="B45" s="138"/>
      <c r="C45" s="138"/>
      <c r="D45" s="138"/>
      <c r="E45" s="138"/>
      <c r="F45" s="138"/>
      <c r="G45" s="139"/>
      <c r="H45" s="79"/>
      <c r="I45" s="80"/>
      <c r="J45" s="80"/>
      <c r="K45" s="81"/>
    </row>
  </sheetData>
  <sheetProtection/>
  <mergeCells count="55">
    <mergeCell ref="A1:K3"/>
    <mergeCell ref="A5:K5"/>
    <mergeCell ref="A7:C7"/>
    <mergeCell ref="F7:H7"/>
    <mergeCell ref="I7:K7"/>
    <mergeCell ref="A8:C8"/>
    <mergeCell ref="D8:H8"/>
    <mergeCell ref="I8:K8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4:A35"/>
    <mergeCell ref="B34:B35"/>
    <mergeCell ref="C34:C35"/>
    <mergeCell ref="A30:A31"/>
    <mergeCell ref="B30:B31"/>
    <mergeCell ref="C30:C31"/>
    <mergeCell ref="A32:A33"/>
    <mergeCell ref="B32:B33"/>
    <mergeCell ref="C32:C33"/>
    <mergeCell ref="A40:G40"/>
    <mergeCell ref="A39:G39"/>
    <mergeCell ref="A43:G43"/>
    <mergeCell ref="A36:C37"/>
    <mergeCell ref="A45:G45"/>
    <mergeCell ref="A44:G44"/>
    <mergeCell ref="A42:G42"/>
    <mergeCell ref="A41:G41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Licitacao01</cp:lastModifiedBy>
  <cp:lastPrinted>2019-12-02T21:23:39Z</cp:lastPrinted>
  <dcterms:created xsi:type="dcterms:W3CDTF">2006-09-22T13:55:22Z</dcterms:created>
  <dcterms:modified xsi:type="dcterms:W3CDTF">2019-12-04T11:08:42Z</dcterms:modified>
  <cp:category/>
  <cp:version/>
  <cp:contentType/>
  <cp:contentStatus/>
</cp:coreProperties>
</file>