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85" activeTab="0"/>
  </bookViews>
  <sheets>
    <sheet name="Orçamento" sheetId="1" r:id="rId1"/>
    <sheet name="Cronogram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0">'Orçamento'!$A$1:$I$83</definedName>
    <definedName name="_xlnm.Print_Titles" localSheetId="0">'Orçamento'!$1:$9</definedName>
  </definedNames>
  <calcPr fullCalcOnLoad="1"/>
</workbook>
</file>

<file path=xl/sharedStrings.xml><?xml version="1.0" encoding="utf-8"?>
<sst xmlns="http://schemas.openxmlformats.org/spreadsheetml/2006/main" count="345" uniqueCount="256">
  <si>
    <t>Municipio</t>
  </si>
  <si>
    <t>Empreendimento</t>
  </si>
  <si>
    <t>ITEM</t>
  </si>
  <si>
    <t>CÓDIGO / REFERÊNCIA</t>
  </si>
  <si>
    <t>UNID</t>
  </si>
  <si>
    <t>QUANTIDADE</t>
  </si>
  <si>
    <t>VALOR TOTAL</t>
  </si>
  <si>
    <t>m²</t>
  </si>
  <si>
    <t>TOTAL DA OBRA</t>
  </si>
  <si>
    <t>_______________________________________________</t>
  </si>
  <si>
    <t>1.1</t>
  </si>
  <si>
    <t>PREFEITURA MUNICIPAL DE RODEIRO - MG</t>
  </si>
  <si>
    <t>VALOR UNITÁRIO</t>
  </si>
  <si>
    <t>Endereço</t>
  </si>
  <si>
    <t xml:space="preserve">PLANILHA ORÇAMENTÁRIA </t>
  </si>
  <si>
    <t xml:space="preserve">ALVENARIA DE VEDAÇÃO DE BLOCOS VAZADOS DE CONCRETO DE 19X19X39CM (ESPESSURA 19CM) DE PAREDES COM ÁREA LÍQUIDA MAIOR OU IGUAL A 6M² SEM VÃOS E ARGAMASSA DE ASSENTAMENTO COM PREPARO MANUAL. </t>
  </si>
  <si>
    <t>DESCRIÇÃO DO SERVIÇO</t>
  </si>
  <si>
    <t>APLICAÇÃO DE GESSO EM ALVENARIA</t>
  </si>
  <si>
    <t xml:space="preserve">DEMOLIÇÃO </t>
  </si>
  <si>
    <t>DEMOLIÇÃO DE RODAPÉ CERÂMICO, DE FORMA MANUAL, SEM REAPROVEITAMENTO</t>
  </si>
  <si>
    <t>m</t>
  </si>
  <si>
    <t>DEMOLIÇÃO DE REVESTIMENTO CERÂMICO, DE FORMA MANUAL, SEM REAPROVEITAMENTO</t>
  </si>
  <si>
    <t>1.2</t>
  </si>
  <si>
    <t>1.3</t>
  </si>
  <si>
    <t>REMOÇÃO DE PORTAS, DE FORMA MANUAL, SEM REAPROVEITAMENTO</t>
  </si>
  <si>
    <t>DEMOLIÇÃO DE LAJES, DE FORMA MECANIZADA COM MARTELETE, SEM REAPROVEITAMENTO</t>
  </si>
  <si>
    <t>m³</t>
  </si>
  <si>
    <t>1.4</t>
  </si>
  <si>
    <t>REVESTIMENTO</t>
  </si>
  <si>
    <t>REVESTIMENTO CERÂMICO PARA PISO COM PLACAS TIPO PORCELANATO DE DIMENSÕES 60X60 CM APLICADA EM AMBIENTES DE ÁREA MAIOR QUE 10 M².</t>
  </si>
  <si>
    <t>REMOÇÃO DE JANELAS, DE FORMA MANUAL, SEM REAPROVEITAMENTO</t>
  </si>
  <si>
    <t>REVESTIMENTO CERÂMICO PARA PAREDES INTERNAS COM PLACA TIPO ESMALTADA EXTRA DE DIMENSÕES 33X45 CM APLICADAS EM AMBIENTES COM ÁREA MENOR QUE 5 M² A MEIA ALTURA DAS PAREDES</t>
  </si>
  <si>
    <t>ALVENARIA DE VEDAÇÃO</t>
  </si>
  <si>
    <t>ESQUADRIAS</t>
  </si>
  <si>
    <t>PORTA DE MADEIRA PARA PINTURA, SEMI-OCA (LEVE OU MÉDIA), 80X210 CM, ESPESSURA DE 3,5 CM, INCLUSO DOBRADIÇAS - INSTALAÇÃO</t>
  </si>
  <si>
    <t>unid.</t>
  </si>
  <si>
    <t>REMOÇÃO DE LOUÇAS, DE FORMA MANUAL., SEM REAPROVEITAMENTO</t>
  </si>
  <si>
    <t>LOUÇAS E METAIS</t>
  </si>
  <si>
    <t>VASO SANITÁRIO SIFONADO CONVENCIONAL PARA PDC COM FURO FRONTAL COM LOUÇA BRANCA COM ASSENTO - INSTALAÇÃO</t>
  </si>
  <si>
    <t>VASO SANITÁRIO SIFONADO CONVENCIONAL COM LOUÇA BRANCA E ASSENTO - INSTALAÇÃO</t>
  </si>
  <si>
    <t>Praça São Sebastião, nº 215, Centro, Rodeiro-MG</t>
  </si>
  <si>
    <t>ALVENARIA DE VEDAÇÃO DE BLOCOS CERÂMICOS FURADOS NA HORIZONTAL DE 9X19X19 CM (ESPESSURA 9CM) DE PAREDES COM ÁREA LÍQUIDA MENOR QUE 6M² SEM VÃOS E ARGAMASSA DE ASSENTAMENTO COM PREPARO EM BETONEIRA.</t>
  </si>
  <si>
    <t>CONTRAPISO EM ARGAMASSA TRAÇO 1:4 (CIMENTO E AREIA), PREPARO MECÂNICO COM BETONEIRA 400 L, APLICADO EM ÁREAS SECAS SOBRE LAJE, ADERIDO, ESPESSURA 2CM.</t>
  </si>
  <si>
    <t>CHAPISCO APLICADO EM ALVENARIAS E ESTRUTURAS DE CONCRETO INTERNAS, COM COLHER DE PEDREIRO. ARGAMASSA TRAÇO 1:3 COM PREPARO MANUAL.</t>
  </si>
  <si>
    <t>EMBOÇO, PARA RECEBIMENTO DE CERÂMICA, EM ARGAMASSA TRAÇO 1:2:8, PREPARO MECÂNICO COM BETONEIRA 400L, APLICADO MANUALMENTE EM FACES INTERNAS DE PAREDES, PARA AMBIENTE COM ÁREA MENOR QUE 5M2, ESPESSURA DE 20MM, COM EXECUÇÃO DE TALISCAS.</t>
  </si>
  <si>
    <t>RODAPÉ CERÂMICO DE 7CM DE ALTURA COM PLACAS TIPO ESMALTADA EXTRA DE DIMENSÕES 33X45CM.</t>
  </si>
  <si>
    <t>SOLEIRA EM GRANITO, LARGURA 15 CM, ESPESSURA 2,0 CM.</t>
  </si>
  <si>
    <t>ADUELA / MARCO / BATENTE PARA PORTA DE 80X210CM, FIXAÇÃO COM ARGAMASSA - SOMENTE INSTALAÇÃO.</t>
  </si>
  <si>
    <t>FECHADURA DE EMBUTIR COM CILINDRO, EXTERNA, COMPLETA, ACABAMENTO PADRÃO MÉDIO INCLUSO EXECUÇÃO DE FURO - SOMENTE INSTALAÇÃO.</t>
  </si>
  <si>
    <t>ALIZAR / GUARNIÇÃO DE 5X1,5CM PARA PORTA DE 80X210CM FIXADO COM PREGOS, PADRÃO MÉDIO - SOMENTE INSTALAÇÃO.</t>
  </si>
  <si>
    <t>BANCADA</t>
  </si>
  <si>
    <t>INSTALAÇÕES HIDROSSANITÁRIAS</t>
  </si>
  <si>
    <t>INSTALAÇÕES ELÉTRICAS</t>
  </si>
  <si>
    <t>PISO</t>
  </si>
  <si>
    <t>1.5</t>
  </si>
  <si>
    <t>1.6</t>
  </si>
  <si>
    <t>2.1</t>
  </si>
  <si>
    <t>3.1</t>
  </si>
  <si>
    <t>6.1</t>
  </si>
  <si>
    <t>6.2</t>
  </si>
  <si>
    <t>6.3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</si>
  <si>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</si>
  <si>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</si>
  <si>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</si>
  <si>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</si>
  <si>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</si>
  <si>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</si>
  <si>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</si>
  <si>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</si>
  <si>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</si>
  <si>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</si>
  <si>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PONTO DE ESGOTO COM TUBO DE PVC RÍGIDO SOLDÁVEL DE 100MM (VASO SANITÁRIO)</t>
  </si>
  <si>
    <t>PONTO DE ESGOTO COM TUBO DE PVC RÍGIDO SOLDÁVEL DE 40MM (LAVATÓRIO E RALOS SIFONADOS)</t>
  </si>
  <si>
    <t>PONTO DE ÁGUA FRIA EMBUTIDO, COM MATERIAL PVC RÍGIDO SOLDÁVEL</t>
  </si>
  <si>
    <t>PONTO DE LUZ, EMBUTIDO, INCLUINDO ELETRODUTO DE PVC RÍGIDO E CAIXA COM ESPELHO.</t>
  </si>
  <si>
    <t>PONTO DE TOMADA, EMBUTIDO, INCLUINDO ELETRODUTO DE PVC RÍGIDO E CAIXA COM ESPELHO</t>
  </si>
  <si>
    <t>PONTO DE INTERRUPTOR, EMBUTIDO, INCLUINDO ELETRODUTO DE PVC RÍGIDO E CAIXA COM ESPELHO.</t>
  </si>
  <si>
    <t>pt</t>
  </si>
  <si>
    <t>INST-ESG-015</t>
  </si>
  <si>
    <t>INST-ESG-005</t>
  </si>
  <si>
    <t>INST-AGU-005</t>
  </si>
  <si>
    <t>INST-LUZ-005</t>
  </si>
  <si>
    <t>INST-TOM-005</t>
  </si>
  <si>
    <t>INST-INT-005</t>
  </si>
  <si>
    <t>ESCADA</t>
  </si>
  <si>
    <t>MURO DE CONTENÇÃO</t>
  </si>
  <si>
    <t>ESCAVAÇÃO MANUAL PARA BLOCO DE COROAMENTO OU SAPATA, SEM PREVISÃO DE FÔRMA.</t>
  </si>
  <si>
    <t>MONTAGEM E DESMONTAGEM DE FÔRMA DE PILARES RETANGULARES E ESTRUTURAS SIMILARES COM ÁREA MÉDIA DAS SEÇÕES MENOR OU IGUAL A 0,25 M², EM CHAPA DE MADEIRA COMPENSADA RESINADA, 2 UTILIZAÇÕES.</t>
  </si>
  <si>
    <t>ARMAÇÃO DE PILAR OU VIGA DE UMA ESTRUTURA CONVENCIONAL DE CONCRETO ARMADO UTILIZANDO AÇO CA-60 DE 5,0 MM.</t>
  </si>
  <si>
    <t>ARMAÇÃO DE PILAR OU VIGA DE UMA ESTRUTURA CONVENCIONAL DE CONCRETO ARMADO UTILIZANDO AÇO CA-50 DE 10,0 MM.</t>
  </si>
  <si>
    <t>CONCRETAGEM DE VIGAS, FCK=2OMPA, COM USO DE BALDES, COM SEÇÃO MENOR OU IGUAL A 0,25M²</t>
  </si>
  <si>
    <t>CONCRETAGEM DE VIGAS BALDRAME OU SAPATAS, FCK=2OMPA, COM USO DE BALDES, COM SEÇÃO MENOR OU IGUAL A 0,25M²</t>
  </si>
  <si>
    <t>DEMOLIÇÃO DE ALVENARIA DE BLOCO FURADO, DE FORMA MANUAL, SEM REAPROVEITAMENTO</t>
  </si>
  <si>
    <t>BANCADA DE GRANITO CINZA POLIDO PARA LAVATÓRIO 0,50 X 0,60M - SOMENTE INSTALAÇÃO</t>
  </si>
  <si>
    <t>BANCADA DE MÁRMORE SINTÉTICO 120X60 CM, COM CUBA INTEGRADA - SOMENTE INSTALAÇÃO</t>
  </si>
  <si>
    <t>CUBA DE EMBUTIR OVAL EM LOUÇA BRANCA, 35 X 50 CM OU EQUIVALENTE - SOMENTE INSTALAÇÃO</t>
  </si>
  <si>
    <t>GUARDA-CORPO DE AÇO GALVANIZADO DE 1,10M, MONTANTES TUBULARES DE 1.1/4" ESPAÇADOS DE 1,20M, TRAVESSA SUPERIOR DE 1.1/2", GRADIL FORMADO POR TUBOS HORIZONTAIS DE 1" E VERTICAIS DE 3/4", FIXADO COM CHUMBADOR MECÂNICO – SOMENTE INSTALAÇÃO.</t>
  </si>
  <si>
    <t>MONTAGEM E DESMONTAGEM DE FÔRMA PARA ESCADAS, COM 2 LANCES, EM CHAPA DE MADEIRA COMPENSADA PLASTIFICADA, 6 UTILIZAÇÕES.</t>
  </si>
  <si>
    <t>ARMAÇÃO DE ESCADA, COM 2 LANCES, DE UMA ESTRUTURA CONVENCIONAL DE CONCRETO ARMADO UTILIZANDO AÇO CA-60 DE 5,0 MM - MONTAGEM.</t>
  </si>
  <si>
    <t>ARMAÇÃO DE ESCADA, COM 2 LANCES, DE UMA ESTRUTURA CONVENCIONAL DE CONCRETO ARMADO UTILIZANDO AÇO CA-50 DE 6,3 MM - MONTAGEM.</t>
  </si>
  <si>
    <t>ARMAÇÃO DE ESCADA, COM 2 LANCES, DE UMA ESTRUTURA CONVENCIONAL DE CONCRETO ARMADO UTILIZANDO AÇO CA-50 DE 8,0 MM - MONTAGEM.</t>
  </si>
  <si>
    <t>ARMAÇÃO DE ESCADA, COM 2 LANCES, DE UMA ESTRUTURA CONVENCIONAL DE CONCRETO ARMADO UTILIZANDO AÇO CA-50 DE 10,0 MM - MONTAGEM.</t>
  </si>
  <si>
    <t>kg</t>
  </si>
  <si>
    <t>PISO CIMENTADO, TRAÇO 1:3 (CIMENTO E AREIA), ACABAMENTO LISO, ESPESSURA 2,0 CM, PREPARO MECÂNICO DA ARGAMASSA.</t>
  </si>
  <si>
    <t>CONCRETAGEM DE ESCADA, FCK=2OMPA, COM USO DE BALDES.</t>
  </si>
  <si>
    <t>1.7</t>
  </si>
  <si>
    <t>3.2</t>
  </si>
  <si>
    <t>4.1</t>
  </si>
  <si>
    <t>4.2</t>
  </si>
  <si>
    <t>4.3</t>
  </si>
  <si>
    <t>5.1</t>
  </si>
  <si>
    <t>5.2</t>
  </si>
  <si>
    <t>5.3</t>
  </si>
  <si>
    <t>9.3</t>
  </si>
  <si>
    <t>10.1</t>
  </si>
  <si>
    <t>10.2</t>
  </si>
  <si>
    <t>10.3</t>
  </si>
  <si>
    <t>10.4</t>
  </si>
  <si>
    <t>10.5</t>
  </si>
  <si>
    <t>10.6</t>
  </si>
  <si>
    <t>10.7</t>
  </si>
  <si>
    <t>11.1</t>
  </si>
  <si>
    <t>11.2</t>
  </si>
  <si>
    <t>12.1</t>
  </si>
  <si>
    <t>12.2</t>
  </si>
  <si>
    <t>12.3</t>
  </si>
  <si>
    <t>12.4</t>
  </si>
  <si>
    <t>12.6</t>
  </si>
  <si>
    <t>12.8</t>
  </si>
  <si>
    <t>12.9</t>
  </si>
  <si>
    <t>12.10</t>
  </si>
  <si>
    <t>COMPOSIÇÃO 1</t>
  </si>
  <si>
    <t>COMPOSIÇÃO 2</t>
  </si>
  <si>
    <t>COMPOSIÇÃO 3</t>
  </si>
  <si>
    <t>COMPOSIÇÃO 4</t>
  </si>
  <si>
    <t>COMPOSIÇÃO 5</t>
  </si>
  <si>
    <t>COMPOSIÇÃO 6</t>
  </si>
  <si>
    <t>COMPOSIÇÃO 7</t>
  </si>
  <si>
    <t>COMPOSIÇÃO 9</t>
  </si>
  <si>
    <t>COMPOSIÇÃO 10</t>
  </si>
  <si>
    <t>COMPOSIÇÃO 11</t>
  </si>
  <si>
    <t>COMPOSIÇÃO 13</t>
  </si>
  <si>
    <t>COMPOSIÇÃO 14</t>
  </si>
  <si>
    <t>COMPOSIÇÃO 15</t>
  </si>
  <si>
    <t>COMPOSIÇÃO 17</t>
  </si>
  <si>
    <t>COMPOSIÇÃO 18</t>
  </si>
  <si>
    <t>COMPOSIÇÃO 19</t>
  </si>
  <si>
    <t>COMPOSIÇÃO 20</t>
  </si>
  <si>
    <t>COMPOSIÇÃO 21</t>
  </si>
  <si>
    <t>COMPOSIÇÃO 22</t>
  </si>
  <si>
    <t>COMPOSIÇÃO 23</t>
  </si>
  <si>
    <t>COMPOSIÇÃO 24</t>
  </si>
  <si>
    <t>COMPOSIÇÃO 25</t>
  </si>
  <si>
    <t>COMPOSIÇÃO 26</t>
  </si>
  <si>
    <t>COMPOSIÇÃO 27</t>
  </si>
  <si>
    <t>COMPOSIÇÃO 29</t>
  </si>
  <si>
    <t>COMPOSIÇÃO 31</t>
  </si>
  <si>
    <t>COMPOSIÇÃO 33</t>
  </si>
  <si>
    <t>COMPOSIÇÃO 35</t>
  </si>
  <si>
    <t>COMPOSIÇÃO 37</t>
  </si>
  <si>
    <t>COMPOSIÇÃO 39</t>
  </si>
  <si>
    <t>COMPOSIÇÃO 41</t>
  </si>
  <si>
    <t>COMPOSIÇÃO 42</t>
  </si>
  <si>
    <t>CONCRETAGEM DE PILARES, FCK=20MPA, COM USO DE BALDES, COM SEÇÃO MENOR OU IGUAL A 0,25M²</t>
  </si>
  <si>
    <t>COMPOSIÇÃO 43</t>
  </si>
  <si>
    <t>COMPOSIÇÃO 44</t>
  </si>
  <si>
    <t>COMPOSIÇÃO 46</t>
  </si>
  <si>
    <t>COMPOSIÇÃO 48</t>
  </si>
  <si>
    <t>COMPOSIÇÃO 50</t>
  </si>
  <si>
    <t>COMPOSIÇÃO 51</t>
  </si>
  <si>
    <t>COMPOSIÇÃO 52</t>
  </si>
  <si>
    <t>COMPOSIÇÃO 53</t>
  </si>
  <si>
    <t>Caio de Azevedo Nicolato Franco</t>
  </si>
  <si>
    <t>Eng.Civil da Prefeitura Municipal de Rodeiro</t>
  </si>
  <si>
    <t>CREA/MG: 212463/D</t>
  </si>
  <si>
    <t>RECEPÇÃO</t>
  </si>
  <si>
    <t>ÁREA PISO</t>
  </si>
  <si>
    <t>RODAPÉ</t>
  </si>
  <si>
    <t>SOLEIRA</t>
  </si>
  <si>
    <t>PORTA</t>
  </si>
  <si>
    <t>SALA CADASTRO</t>
  </si>
  <si>
    <t>GABINETE</t>
  </si>
  <si>
    <t>SALA RAQUEL</t>
  </si>
  <si>
    <t>CIRCULAÇÃO</t>
  </si>
  <si>
    <t>SALA SERVIDOR</t>
  </si>
  <si>
    <t>ALMOXARIFADO</t>
  </si>
  <si>
    <t>SALA RONALDO</t>
  </si>
  <si>
    <t>SALA LUCIANO</t>
  </si>
  <si>
    <t>SALA FREDERICO</t>
  </si>
  <si>
    <t>SALA JOÃO</t>
  </si>
  <si>
    <t>SALA CLÓVIS</t>
  </si>
  <si>
    <t>COZINHA</t>
  </si>
  <si>
    <t>SALA JUNIOR</t>
  </si>
  <si>
    <t>BANHEIRO MASC.</t>
  </si>
  <si>
    <t>BANHEIRO FEM.</t>
  </si>
  <si>
    <t>REVEST. PAREDE</t>
  </si>
  <si>
    <t>ALVENARIA</t>
  </si>
  <si>
    <t>D.ALVENARIA</t>
  </si>
  <si>
    <t>REMOÇÃO JANELAS</t>
  </si>
  <si>
    <t>Retirar Louças</t>
  </si>
  <si>
    <t>Vaso PDC</t>
  </si>
  <si>
    <t>Vaso Normal</t>
  </si>
  <si>
    <t>Chapisco</t>
  </si>
  <si>
    <t>emboço</t>
  </si>
  <si>
    <t>Revestimento parede</t>
  </si>
  <si>
    <t>cuba</t>
  </si>
  <si>
    <t>rodape novo</t>
  </si>
  <si>
    <t>contrapiso</t>
  </si>
  <si>
    <t>parte baixa</t>
  </si>
  <si>
    <t>SALA 1</t>
  </si>
  <si>
    <t>SALA 2</t>
  </si>
  <si>
    <t>SALA 3</t>
  </si>
  <si>
    <t>SALA 4</t>
  </si>
  <si>
    <t>SALA 5</t>
  </si>
  <si>
    <t>BANHEIRO FEM</t>
  </si>
  <si>
    <t>4.5</t>
  </si>
  <si>
    <t>rampa</t>
  </si>
  <si>
    <t>DRE-TUB-020</t>
  </si>
  <si>
    <t>SUPERIOR</t>
  </si>
  <si>
    <t>HORAS</t>
  </si>
  <si>
    <t>DATA</t>
  </si>
  <si>
    <t>BDI</t>
  </si>
  <si>
    <t>VALOR UNITÁRIO C/ BDI</t>
  </si>
  <si>
    <t>VALOR TOTAL C/ BDI</t>
  </si>
  <si>
    <t>Como referência utilizou-se SINAPI NOVEMBRO/2019 e SETOP AGOSTO/2019.</t>
  </si>
  <si>
    <t>ASSENTAMENTO DE TUBO PVC RÍGIDO, DRENAGEM/PLUVIAL, PBV - SÉRIE NORMAL, DN 150 MM (6"), INCLUSIVE CONEXÕES</t>
  </si>
  <si>
    <t>RAMPA DE ACESSIBILIDADE E GARAGEM</t>
  </si>
  <si>
    <t>Paço Municipal de Rodeiro-MG</t>
  </si>
  <si>
    <t>TOTAL DO SERVIÇO</t>
  </si>
  <si>
    <t>TOTAL DO SERVIÇO + BDI</t>
  </si>
  <si>
    <t>CRONOGRAMA FÍSICO-FINANCEIRO</t>
  </si>
  <si>
    <t>PREFEITURA:  Prefeitura Municipal de Rodeiro</t>
  </si>
  <si>
    <t>PRAZO DA OBRA: 06 Meses</t>
  </si>
  <si>
    <t>CÓDIGO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</si>
  <si>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</si>
  <si>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</si>
  <si>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</si>
  <si>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</si>
  <si>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</si>
  <si>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</si>
  <si>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</si>
  <si>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</si>
  <si>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</si>
  <si>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</si>
  <si>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</si>
  <si>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>REVESTIMENTOS</t>
  </si>
  <si>
    <t>TOTAL</t>
  </si>
  <si>
    <t>________________________________________</t>
  </si>
  <si>
    <t>Observações:</t>
  </si>
  <si>
    <t>Engenheiro Civl</t>
  </si>
  <si>
    <t>DEMOLIÇÃO</t>
  </si>
  <si>
    <t>OBRA: Reforma do Paço Municipal de Rodeiro-MG</t>
  </si>
  <si>
    <t xml:space="preserve">VALOR DO SERVIÇO:  </t>
  </si>
  <si>
    <t>LOCAL: Praça São Sebastião, nº 215, Centro, Rodeiro-MG</t>
  </si>
  <si>
    <t>DATA: 27/01/2020</t>
  </si>
  <si>
    <t>CREA MG-212463/D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</si>
</sst>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R$&quot;\ 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Bookman Old Style"/>
      <family val="0"/>
    </font>
    <font>
      <sz val="11"/>
      <color indexed="8"/>
      <name val="Bookman Old Styl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20"/>
      <color rgb="FF4F622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13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44" fontId="55" fillId="0" borderId="12" xfId="45" applyFont="1" applyBorder="1" applyAlignment="1">
      <alignment horizontal="center" vertical="center"/>
    </xf>
    <xf numFmtId="2" fontId="0" fillId="0" borderId="0" xfId="0" applyNumberFormat="1" applyAlignment="1">
      <alignment/>
    </xf>
    <xf numFmtId="44" fontId="54" fillId="13" borderId="13" xfId="45" applyFont="1" applyFill="1" applyBorder="1" applyAlignment="1">
      <alignment horizontal="center" vertical="center"/>
    </xf>
    <xf numFmtId="2" fontId="55" fillId="0" borderId="12" xfId="0" applyNumberFormat="1" applyFont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5" fillId="0" borderId="12" xfId="0" applyFont="1" applyBorder="1" applyAlignment="1">
      <alignment horizontal="justify" vertical="center"/>
    </xf>
    <xf numFmtId="44" fontId="54" fillId="13" borderId="14" xfId="45" applyFont="1" applyFill="1" applyBorder="1" applyAlignment="1">
      <alignment horizontal="center" vertical="center"/>
    </xf>
    <xf numFmtId="44" fontId="55" fillId="0" borderId="15" xfId="45" applyFont="1" applyBorder="1" applyAlignment="1">
      <alignment horizontal="center" vertical="center"/>
    </xf>
    <xf numFmtId="44" fontId="54" fillId="13" borderId="16" xfId="45" applyFont="1" applyFill="1" applyBorder="1" applyAlignment="1">
      <alignment horizontal="center" vertical="center"/>
    </xf>
    <xf numFmtId="0" fontId="54" fillId="13" borderId="13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13" borderId="17" xfId="0" applyFont="1" applyFill="1" applyBorder="1" applyAlignment="1">
      <alignment horizontal="center" vertical="center"/>
    </xf>
    <xf numFmtId="0" fontId="54" fillId="13" borderId="18" xfId="0" applyFont="1" applyFill="1" applyBorder="1" applyAlignment="1">
      <alignment horizontal="center" vertical="center"/>
    </xf>
    <xf numFmtId="0" fontId="54" fillId="13" borderId="19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54" fillId="13" borderId="18" xfId="0" applyFont="1" applyFill="1" applyBorder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4" fontId="54" fillId="13" borderId="17" xfId="45" applyFont="1" applyFill="1" applyBorder="1" applyAlignment="1">
      <alignment horizontal="center" vertical="center"/>
    </xf>
    <xf numFmtId="44" fontId="55" fillId="0" borderId="20" xfId="45" applyFont="1" applyBorder="1" applyAlignment="1">
      <alignment horizontal="center" vertical="center"/>
    </xf>
    <xf numFmtId="44" fontId="54" fillId="13" borderId="0" xfId="45" applyFont="1" applyFill="1" applyBorder="1" applyAlignment="1">
      <alignment horizontal="center" vertical="center"/>
    </xf>
    <xf numFmtId="44" fontId="55" fillId="0" borderId="0" xfId="45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4" fillId="0" borderId="21" xfId="0" applyFont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44" fontId="54" fillId="33" borderId="0" xfId="45" applyFont="1" applyFill="1" applyBorder="1" applyAlignment="1">
      <alignment vertical="center"/>
    </xf>
    <xf numFmtId="0" fontId="56" fillId="13" borderId="10" xfId="0" applyFont="1" applyFill="1" applyBorder="1" applyAlignment="1">
      <alignment horizontal="center" vertical="center"/>
    </xf>
    <xf numFmtId="0" fontId="56" fillId="13" borderId="17" xfId="0" applyFont="1" applyFill="1" applyBorder="1" applyAlignment="1">
      <alignment horizontal="center" vertical="center"/>
    </xf>
    <xf numFmtId="0" fontId="56" fillId="13" borderId="18" xfId="0" applyFont="1" applyFill="1" applyBorder="1" applyAlignment="1">
      <alignment horizontal="center" vertical="center"/>
    </xf>
    <xf numFmtId="44" fontId="56" fillId="13" borderId="18" xfId="45" applyFont="1" applyFill="1" applyBorder="1" applyAlignment="1">
      <alignment horizontal="center" vertical="center"/>
    </xf>
    <xf numFmtId="44" fontId="56" fillId="13" borderId="19" xfId="45" applyFont="1" applyFill="1" applyBorder="1" applyAlignment="1">
      <alignment horizontal="center" vertical="center"/>
    </xf>
    <xf numFmtId="44" fontId="56" fillId="13" borderId="13" xfId="45" applyFont="1" applyFill="1" applyBorder="1" applyAlignment="1">
      <alignment horizontal="center" vertical="center"/>
    </xf>
    <xf numFmtId="44" fontId="56" fillId="13" borderId="14" xfId="45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justify" vertical="center"/>
    </xf>
    <xf numFmtId="2" fontId="57" fillId="0" borderId="12" xfId="0" applyNumberFormat="1" applyFont="1" applyBorder="1" applyAlignment="1">
      <alignment horizontal="center" vertical="center"/>
    </xf>
    <xf numFmtId="44" fontId="57" fillId="0" borderId="12" xfId="0" applyNumberFormat="1" applyFont="1" applyBorder="1" applyAlignment="1">
      <alignment horizontal="center" vertical="center"/>
    </xf>
    <xf numFmtId="44" fontId="57" fillId="0" borderId="20" xfId="0" applyNumberFormat="1" applyFont="1" applyBorder="1" applyAlignment="1">
      <alignment horizontal="center" vertical="center"/>
    </xf>
    <xf numFmtId="44" fontId="57" fillId="0" borderId="12" xfId="45" applyFont="1" applyBorder="1" applyAlignment="1">
      <alignment horizontal="center" vertical="center"/>
    </xf>
    <xf numFmtId="44" fontId="57" fillId="33" borderId="14" xfId="45" applyFont="1" applyFill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justify" vertical="center"/>
    </xf>
    <xf numFmtId="0" fontId="57" fillId="0" borderId="13" xfId="0" applyFont="1" applyBorder="1" applyAlignment="1">
      <alignment horizontal="center" vertical="center"/>
    </xf>
    <xf numFmtId="2" fontId="57" fillId="0" borderId="27" xfId="0" applyNumberFormat="1" applyFont="1" applyBorder="1" applyAlignment="1">
      <alignment horizontal="center" vertical="center"/>
    </xf>
    <xf numFmtId="44" fontId="57" fillId="0" borderId="27" xfId="0" applyNumberFormat="1" applyFont="1" applyBorder="1" applyAlignment="1">
      <alignment horizontal="center" vertical="center"/>
    </xf>
    <xf numFmtId="44" fontId="57" fillId="0" borderId="25" xfId="45" applyFont="1" applyBorder="1" applyAlignment="1">
      <alignment horizontal="center" vertical="center"/>
    </xf>
    <xf numFmtId="44" fontId="57" fillId="13" borderId="19" xfId="0" applyNumberFormat="1" applyFont="1" applyFill="1" applyBorder="1" applyAlignment="1">
      <alignment horizontal="center" vertical="center"/>
    </xf>
    <xf numFmtId="0" fontId="56" fillId="13" borderId="19" xfId="0" applyFont="1" applyFill="1" applyBorder="1" applyAlignment="1">
      <alignment horizontal="center" vertical="center"/>
    </xf>
    <xf numFmtId="0" fontId="57" fillId="0" borderId="13" xfId="0" applyFont="1" applyBorder="1" applyAlignment="1">
      <alignment wrapText="1"/>
    </xf>
    <xf numFmtId="0" fontId="56" fillId="13" borderId="28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justify" vertical="center"/>
    </xf>
    <xf numFmtId="2" fontId="57" fillId="0" borderId="13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horizontal="justify" vertical="center" wrapText="1"/>
    </xf>
    <xf numFmtId="0" fontId="57" fillId="0" borderId="25" xfId="0" applyFont="1" applyBorder="1" applyAlignment="1">
      <alignment horizontal="justify" vertical="center"/>
    </xf>
    <xf numFmtId="2" fontId="57" fillId="0" borderId="25" xfId="0" applyNumberFormat="1" applyFont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justify" vertical="center" wrapText="1"/>
    </xf>
    <xf numFmtId="0" fontId="57" fillId="33" borderId="13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44" fontId="57" fillId="33" borderId="25" xfId="45" applyFont="1" applyFill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0" xfId="0" applyFont="1" applyBorder="1" applyAlignment="1">
      <alignment horizontal="justify" vertical="center"/>
    </xf>
    <xf numFmtId="2" fontId="57" fillId="0" borderId="30" xfId="0" applyNumberFormat="1" applyFont="1" applyBorder="1" applyAlignment="1">
      <alignment horizontal="center" vertical="center"/>
    </xf>
    <xf numFmtId="44" fontId="57" fillId="0" borderId="13" xfId="45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 wrapText="1"/>
    </xf>
    <xf numFmtId="44" fontId="56" fillId="13" borderId="14" xfId="45" applyFont="1" applyFill="1" applyBorder="1" applyAlignment="1">
      <alignment vertical="center"/>
    </xf>
    <xf numFmtId="0" fontId="57" fillId="0" borderId="0" xfId="0" applyFont="1" applyAlignment="1">
      <alignment/>
    </xf>
    <xf numFmtId="0" fontId="56" fillId="33" borderId="0" xfId="0" applyFont="1" applyFill="1" applyBorder="1" applyAlignment="1">
      <alignment horizontal="right" vertical="center"/>
    </xf>
    <xf numFmtId="2" fontId="57" fillId="0" borderId="19" xfId="0" applyNumberFormat="1" applyFont="1" applyBorder="1" applyAlignment="1">
      <alignment horizontal="center" vertical="center"/>
    </xf>
    <xf numFmtId="44" fontId="57" fillId="0" borderId="17" xfId="0" applyNumberFormat="1" applyFont="1" applyBorder="1" applyAlignment="1">
      <alignment horizontal="center" vertical="center"/>
    </xf>
    <xf numFmtId="2" fontId="57" fillId="33" borderId="27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vertical="center" wrapText="1"/>
    </xf>
    <xf numFmtId="0" fontId="13" fillId="34" borderId="20" xfId="0" applyFont="1" applyFill="1" applyBorder="1" applyAlignment="1">
      <alignment vertical="center"/>
    </xf>
    <xf numFmtId="0" fontId="13" fillId="34" borderId="32" xfId="0" applyFont="1" applyFill="1" applyBorder="1" applyAlignment="1">
      <alignment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/>
    </xf>
    <xf numFmtId="49" fontId="14" fillId="34" borderId="33" xfId="0" applyNumberFormat="1" applyFont="1" applyFill="1" applyBorder="1" applyAlignment="1">
      <alignment horizontal="center" vertical="center" wrapText="1"/>
    </xf>
    <xf numFmtId="10" fontId="15" fillId="34" borderId="33" xfId="0" applyNumberFormat="1" applyFont="1" applyFill="1" applyBorder="1" applyAlignment="1">
      <alignment vertical="center" wrapText="1"/>
    </xf>
    <xf numFmtId="10" fontId="16" fillId="34" borderId="33" xfId="0" applyNumberFormat="1" applyFont="1" applyFill="1" applyBorder="1" applyAlignment="1">
      <alignment vertical="center" wrapText="1"/>
    </xf>
    <xf numFmtId="10" fontId="14" fillId="34" borderId="33" xfId="0" applyNumberFormat="1" applyFont="1" applyFill="1" applyBorder="1" applyAlignment="1">
      <alignment vertical="center" wrapText="1"/>
    </xf>
    <xf numFmtId="10" fontId="17" fillId="34" borderId="33" xfId="60" applyNumberFormat="1" applyFont="1" applyFill="1" applyBorder="1" applyAlignment="1">
      <alignment vertical="center" wrapText="1"/>
    </xf>
    <xf numFmtId="10" fontId="17" fillId="34" borderId="33" xfId="0" applyNumberFormat="1" applyFont="1" applyFill="1" applyBorder="1" applyAlignment="1">
      <alignment vertical="center" wrapText="1"/>
    </xf>
    <xf numFmtId="10" fontId="17" fillId="34" borderId="34" xfId="0" applyNumberFormat="1" applyFont="1" applyFill="1" applyBorder="1" applyAlignment="1">
      <alignment vertical="center" wrapText="1"/>
    </xf>
    <xf numFmtId="49" fontId="14" fillId="34" borderId="35" xfId="0" applyNumberFormat="1" applyFont="1" applyFill="1" applyBorder="1" applyAlignment="1">
      <alignment horizontal="center" vertical="center" wrapText="1"/>
    </xf>
    <xf numFmtId="44" fontId="14" fillId="34" borderId="35" xfId="45" applyFont="1" applyFill="1" applyBorder="1" applyAlignment="1">
      <alignment vertical="center" wrapText="1"/>
    </xf>
    <xf numFmtId="165" fontId="14" fillId="34" borderId="35" xfId="0" applyNumberFormat="1" applyFont="1" applyFill="1" applyBorder="1" applyAlignment="1">
      <alignment vertical="center" wrapText="1"/>
    </xf>
    <xf numFmtId="165" fontId="14" fillId="34" borderId="36" xfId="0" applyNumberFormat="1" applyFont="1" applyFill="1" applyBorder="1" applyAlignment="1">
      <alignment vertical="center" wrapText="1"/>
    </xf>
    <xf numFmtId="10" fontId="15" fillId="34" borderId="33" xfId="60" applyNumberFormat="1" applyFont="1" applyFill="1" applyBorder="1" applyAlignment="1">
      <alignment vertical="center" wrapText="1"/>
    </xf>
    <xf numFmtId="10" fontId="15" fillId="34" borderId="34" xfId="0" applyNumberFormat="1" applyFont="1" applyFill="1" applyBorder="1" applyAlignment="1">
      <alignment vertical="center" wrapText="1"/>
    </xf>
    <xf numFmtId="4" fontId="14" fillId="34" borderId="33" xfId="0" applyNumberFormat="1" applyFont="1" applyFill="1" applyBorder="1" applyAlignment="1">
      <alignment vertical="center" wrapText="1"/>
    </xf>
    <xf numFmtId="4" fontId="14" fillId="34" borderId="34" xfId="0" applyNumberFormat="1" applyFont="1" applyFill="1" applyBorder="1" applyAlignment="1">
      <alignment vertical="center" wrapText="1"/>
    </xf>
    <xf numFmtId="165" fontId="14" fillId="34" borderId="33" xfId="0" applyNumberFormat="1" applyFont="1" applyFill="1" applyBorder="1" applyAlignment="1">
      <alignment vertical="center" wrapText="1"/>
    </xf>
    <xf numFmtId="165" fontId="14" fillId="34" borderId="34" xfId="0" applyNumberFormat="1" applyFont="1" applyFill="1" applyBorder="1" applyAlignment="1">
      <alignment vertical="center" wrapText="1"/>
    </xf>
    <xf numFmtId="10" fontId="16" fillId="34" borderId="34" xfId="0" applyNumberFormat="1" applyFont="1" applyFill="1" applyBorder="1" applyAlignment="1">
      <alignment vertical="center" wrapText="1"/>
    </xf>
    <xf numFmtId="0" fontId="14" fillId="34" borderId="35" xfId="0" applyNumberFormat="1" applyFont="1" applyFill="1" applyBorder="1" applyAlignment="1">
      <alignment vertical="center" wrapText="1"/>
    </xf>
    <xf numFmtId="49" fontId="16" fillId="34" borderId="37" xfId="0" applyNumberFormat="1" applyFont="1" applyFill="1" applyBorder="1" applyAlignment="1">
      <alignment horizontal="center" vertical="center" wrapText="1"/>
    </xf>
    <xf numFmtId="10" fontId="16" fillId="34" borderId="37" xfId="0" applyNumberFormat="1" applyFont="1" applyFill="1" applyBorder="1" applyAlignment="1">
      <alignment vertical="center" wrapText="1"/>
    </xf>
    <xf numFmtId="10" fontId="16" fillId="34" borderId="38" xfId="0" applyNumberFormat="1" applyFont="1" applyFill="1" applyBorder="1" applyAlignment="1">
      <alignment vertical="center" wrapText="1"/>
    </xf>
    <xf numFmtId="49" fontId="16" fillId="34" borderId="39" xfId="0" applyNumberFormat="1" applyFont="1" applyFill="1" applyBorder="1" applyAlignment="1">
      <alignment horizontal="center" vertical="center" wrapText="1"/>
    </xf>
    <xf numFmtId="164" fontId="16" fillId="34" borderId="39" xfId="0" applyNumberFormat="1" applyFont="1" applyFill="1" applyBorder="1" applyAlignment="1">
      <alignment vertical="center" wrapText="1"/>
    </xf>
    <xf numFmtId="164" fontId="16" fillId="34" borderId="40" xfId="0" applyNumberFormat="1" applyFont="1" applyFill="1" applyBorder="1" applyAlignment="1">
      <alignment vertical="center" wrapText="1"/>
    </xf>
    <xf numFmtId="0" fontId="13" fillId="34" borderId="26" xfId="0" applyFont="1" applyFill="1" applyBorder="1" applyAlignment="1">
      <alignment vertical="center"/>
    </xf>
    <xf numFmtId="0" fontId="18" fillId="34" borderId="31" xfId="0" applyFont="1" applyFill="1" applyBorder="1" applyAlignment="1">
      <alignment vertical="center"/>
    </xf>
    <xf numFmtId="0" fontId="18" fillId="34" borderId="22" xfId="0" applyFont="1" applyFill="1" applyBorder="1" applyAlignment="1">
      <alignment vertical="center"/>
    </xf>
    <xf numFmtId="0" fontId="13" fillId="34" borderId="41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18" fillId="34" borderId="23" xfId="0" applyFont="1" applyFill="1" applyBorder="1" applyAlignment="1">
      <alignment vertical="center"/>
    </xf>
    <xf numFmtId="0" fontId="18" fillId="34" borderId="41" xfId="0" applyFont="1" applyFill="1" applyBorder="1" applyAlignment="1">
      <alignment vertical="center"/>
    </xf>
    <xf numFmtId="0" fontId="18" fillId="34" borderId="42" xfId="0" applyFont="1" applyFill="1" applyBorder="1" applyAlignment="1">
      <alignment vertical="center"/>
    </xf>
    <xf numFmtId="0" fontId="18" fillId="34" borderId="28" xfId="0" applyFont="1" applyFill="1" applyBorder="1" applyAlignment="1">
      <alignment vertical="center"/>
    </xf>
    <xf numFmtId="0" fontId="18" fillId="34" borderId="21" xfId="0" applyFont="1" applyFill="1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28" xfId="0" applyFill="1" applyBorder="1" applyAlignment="1">
      <alignment vertical="center" wrapText="1"/>
    </xf>
    <xf numFmtId="0" fontId="0" fillId="34" borderId="21" xfId="0" applyFill="1" applyBorder="1" applyAlignment="1">
      <alignment vertical="center"/>
    </xf>
    <xf numFmtId="0" fontId="55" fillId="0" borderId="44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4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5" fillId="0" borderId="49" xfId="0" applyFont="1" applyBorder="1" applyAlignment="1">
      <alignment horizontal="left" vertical="center"/>
    </xf>
    <xf numFmtId="0" fontId="55" fillId="0" borderId="50" xfId="0" applyFont="1" applyBorder="1" applyAlignment="1">
      <alignment horizontal="left" vertical="center"/>
    </xf>
    <xf numFmtId="0" fontId="55" fillId="0" borderId="51" xfId="0" applyFont="1" applyBorder="1" applyAlignment="1">
      <alignment horizontal="left" vertical="center"/>
    </xf>
    <xf numFmtId="0" fontId="55" fillId="0" borderId="42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6" fillId="0" borderId="52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10" fontId="56" fillId="0" borderId="54" xfId="0" applyNumberFormat="1" applyFont="1" applyBorder="1" applyAlignment="1">
      <alignment horizontal="center" vertical="center"/>
    </xf>
    <xf numFmtId="10" fontId="56" fillId="0" borderId="55" xfId="0" applyNumberFormat="1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/>
    </xf>
    <xf numFmtId="0" fontId="56" fillId="0" borderId="15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/>
    </xf>
    <xf numFmtId="0" fontId="55" fillId="0" borderId="60" xfId="0" applyFont="1" applyBorder="1" applyAlignment="1">
      <alignment horizontal="center"/>
    </xf>
    <xf numFmtId="0" fontId="55" fillId="0" borderId="57" xfId="0" applyFont="1" applyBorder="1" applyAlignment="1">
      <alignment horizontal="center"/>
    </xf>
    <xf numFmtId="0" fontId="55" fillId="0" borderId="58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14" fontId="56" fillId="0" borderId="61" xfId="0" applyNumberFormat="1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4" fillId="13" borderId="44" xfId="0" applyFont="1" applyFill="1" applyBorder="1" applyAlignment="1">
      <alignment horizontal="right" vertical="center"/>
    </xf>
    <xf numFmtId="0" fontId="54" fillId="13" borderId="18" xfId="0" applyFont="1" applyFill="1" applyBorder="1" applyAlignment="1">
      <alignment horizontal="right" vertical="center"/>
    </xf>
    <xf numFmtId="0" fontId="56" fillId="13" borderId="44" xfId="0" applyFont="1" applyFill="1" applyBorder="1" applyAlignment="1">
      <alignment horizontal="right" vertical="center"/>
    </xf>
    <xf numFmtId="0" fontId="56" fillId="13" borderId="18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left" vertical="center"/>
    </xf>
    <xf numFmtId="0" fontId="55" fillId="0" borderId="46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55" fillId="0" borderId="23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44" fontId="56" fillId="13" borderId="18" xfId="45" applyFont="1" applyFill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12" fillId="34" borderId="64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/>
    </xf>
    <xf numFmtId="0" fontId="13" fillId="34" borderId="65" xfId="0" applyFont="1" applyFill="1" applyBorder="1" applyAlignment="1">
      <alignment horizontal="left" vertical="center"/>
    </xf>
    <xf numFmtId="0" fontId="13" fillId="34" borderId="32" xfId="0" applyFont="1" applyFill="1" applyBorder="1" applyAlignment="1">
      <alignment horizontal="left" vertical="center"/>
    </xf>
    <xf numFmtId="0" fontId="13" fillId="34" borderId="66" xfId="0" applyFont="1" applyFill="1" applyBorder="1" applyAlignment="1">
      <alignment horizontal="left" vertical="center"/>
    </xf>
    <xf numFmtId="164" fontId="13" fillId="34" borderId="32" xfId="0" applyNumberFormat="1" applyFont="1" applyFill="1" applyBorder="1" applyAlignment="1">
      <alignment horizontal="left" vertical="center"/>
    </xf>
    <xf numFmtId="164" fontId="13" fillId="34" borderId="66" xfId="0" applyNumberFormat="1" applyFont="1" applyFill="1" applyBorder="1" applyAlignment="1">
      <alignment horizontal="left" vertical="center"/>
    </xf>
    <xf numFmtId="0" fontId="13" fillId="34" borderId="12" xfId="0" applyFont="1" applyFill="1" applyBorder="1" applyAlignment="1">
      <alignment horizontal="left" vertical="center"/>
    </xf>
    <xf numFmtId="0" fontId="13" fillId="34" borderId="15" xfId="0" applyFont="1" applyFill="1" applyBorder="1" applyAlignment="1">
      <alignment horizontal="left" vertical="center"/>
    </xf>
    <xf numFmtId="0" fontId="13" fillId="34" borderId="67" xfId="0" applyFont="1" applyFill="1" applyBorder="1" applyAlignment="1" quotePrefix="1">
      <alignment horizontal="left" vertical="center"/>
    </xf>
    <xf numFmtId="0" fontId="13" fillId="34" borderId="68" xfId="0" applyFont="1" applyFill="1" applyBorder="1" applyAlignment="1">
      <alignment horizontal="left" vertical="center"/>
    </xf>
    <xf numFmtId="0" fontId="13" fillId="34" borderId="69" xfId="0" applyFont="1" applyFill="1" applyBorder="1" applyAlignment="1">
      <alignment horizontal="left" vertical="center"/>
    </xf>
    <xf numFmtId="0" fontId="13" fillId="34" borderId="70" xfId="0" applyFont="1" applyFill="1" applyBorder="1" applyAlignment="1">
      <alignment horizontal="left" vertical="center" wrapText="1"/>
    </xf>
    <xf numFmtId="0" fontId="13" fillId="34" borderId="68" xfId="0" applyFont="1" applyFill="1" applyBorder="1" applyAlignment="1">
      <alignment horizontal="left" vertical="center" wrapText="1"/>
    </xf>
    <xf numFmtId="0" fontId="13" fillId="34" borderId="69" xfId="0" applyFont="1" applyFill="1" applyBorder="1" applyAlignment="1">
      <alignment horizontal="left" vertical="center" wrapText="1"/>
    </xf>
    <xf numFmtId="0" fontId="13" fillId="34" borderId="70" xfId="0" applyFont="1" applyFill="1" applyBorder="1" applyAlignment="1">
      <alignment horizontal="left" vertical="center"/>
    </xf>
    <xf numFmtId="0" fontId="13" fillId="34" borderId="71" xfId="0" applyFont="1" applyFill="1" applyBorder="1" applyAlignment="1">
      <alignment horizontal="left" vertical="center"/>
    </xf>
    <xf numFmtId="0" fontId="13" fillId="34" borderId="72" xfId="0" applyFont="1" applyFill="1" applyBorder="1" applyAlignment="1">
      <alignment horizontal="center" vertical="center" wrapText="1"/>
    </xf>
    <xf numFmtId="0" fontId="13" fillId="34" borderId="73" xfId="0" applyFont="1" applyFill="1" applyBorder="1" applyAlignment="1">
      <alignment horizontal="center" vertical="center" wrapText="1"/>
    </xf>
    <xf numFmtId="49" fontId="13" fillId="34" borderId="61" xfId="0" applyNumberFormat="1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left" vertical="center" wrapText="1"/>
    </xf>
    <xf numFmtId="0" fontId="13" fillId="34" borderId="35" xfId="0" applyFont="1" applyFill="1" applyBorder="1" applyAlignment="1">
      <alignment horizontal="left" vertical="center" wrapText="1"/>
    </xf>
    <xf numFmtId="49" fontId="13" fillId="34" borderId="74" xfId="0" applyNumberFormat="1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75" xfId="0" applyFont="1" applyFill="1" applyBorder="1" applyAlignment="1">
      <alignment horizontal="center" vertical="center"/>
    </xf>
    <xf numFmtId="0" fontId="18" fillId="34" borderId="43" xfId="0" applyFont="1" applyFill="1" applyBorder="1" applyAlignment="1">
      <alignment horizontal="center"/>
    </xf>
    <xf numFmtId="0" fontId="18" fillId="34" borderId="28" xfId="0" applyFont="1" applyFill="1" applyBorder="1" applyAlignment="1">
      <alignment horizontal="center"/>
    </xf>
    <xf numFmtId="0" fontId="18" fillId="34" borderId="76" xfId="0" applyFont="1" applyFill="1" applyBorder="1" applyAlignment="1">
      <alignment horizontal="center"/>
    </xf>
    <xf numFmtId="0" fontId="13" fillId="34" borderId="77" xfId="0" applyFont="1" applyFill="1" applyBorder="1" applyAlignment="1">
      <alignment horizontal="center" vertical="center" wrapText="1"/>
    </xf>
    <xf numFmtId="0" fontId="13" fillId="34" borderId="78" xfId="0" applyFont="1" applyFill="1" applyBorder="1" applyAlignment="1">
      <alignment horizontal="center" vertical="center" wrapText="1"/>
    </xf>
    <xf numFmtId="0" fontId="13" fillId="34" borderId="79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76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wrapText="1"/>
    </xf>
    <xf numFmtId="0" fontId="13" fillId="34" borderId="31" xfId="0" applyFont="1" applyFill="1" applyBorder="1" applyAlignment="1">
      <alignment horizontal="center" wrapText="1"/>
    </xf>
    <xf numFmtId="0" fontId="13" fillId="34" borderId="27" xfId="0" applyFont="1" applyFill="1" applyBorder="1" applyAlignment="1">
      <alignment horizontal="center" wrapText="1"/>
    </xf>
    <xf numFmtId="0" fontId="13" fillId="0" borderId="4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</xdr:rowOff>
    </xdr:from>
    <xdr:to>
      <xdr:col>1</xdr:col>
      <xdr:colOff>914400</xdr:colOff>
      <xdr:row>1</xdr:row>
      <xdr:rowOff>180975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3200400</xdr:colOff>
      <xdr:row>0</xdr:row>
      <xdr:rowOff>161925</xdr:rowOff>
    </xdr:from>
    <xdr:to>
      <xdr:col>2</xdr:col>
      <xdr:colOff>3743325</xdr:colOff>
      <xdr:row>2</xdr:row>
      <xdr:rowOff>114300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6192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3981450</xdr:colOff>
      <xdr:row>0</xdr:row>
      <xdr:rowOff>114300</xdr:rowOff>
    </xdr:from>
    <xdr:to>
      <xdr:col>6</xdr:col>
      <xdr:colOff>104775</xdr:colOff>
      <xdr:row>3</xdr:row>
      <xdr:rowOff>371475</xdr:rowOff>
    </xdr:to>
    <xdr:sp>
      <xdr:nvSpPr>
        <xdr:cNvPr id="2" name="CaixaDeTexto 17"/>
        <xdr:cNvSpPr txBox="1">
          <a:spLocks noChangeArrowheads="1"/>
        </xdr:cNvSpPr>
      </xdr:nvSpPr>
      <xdr:spPr>
        <a:xfrm>
          <a:off x="5534025" y="114300"/>
          <a:ext cx="36004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MUNICÍPIO DE RODEIRO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Praça São Sebastião, 215 - Centro - Rodeiro - MG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CEP: 36.510-000   CNPJ: 18.128.256/0001-44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PABX: 32.3577-1173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1%20-%20%20DEMOLI&#199;&#195;O%20DE%20RODAP&#201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10%20-%20ASSENTAMENTO%20BANCADA%20DE%20M&#193;RMORE%20SINT&#201;TICO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11%20-%20ASSENTAMENTO%20BANCADA%20DE%20GRANITO%20CINZA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13%20-%20CHAPISCO%20ARGAMASSA%20TRA&#199;O%201-3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13%20-%20%20PREPARO%20ARGAMASSA%20TRA&#199;O%201-3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14%20-%20EMBO&#199;O%20ARGAMASSA%20TRA&#199;O%201-2-8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15%20-%20%20REVESTIMENTO%20CER&#194;MICO%20PAREDE%20INTERNA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17%20-%20CONTRAPISO%20ARGAMASSA%20TRA&#199;O%201-4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16%20-%20%20PREPARO%20ARGAMASSA%20TRA&#199;O%201-4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18%20-%20%20REVESTIMENTO%20PORCELANATO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19%20-%20ASSENTAMENTO%20DE%20RODAP&#201;%20CER&#194;MIC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2%20-%20%20DEMOLI&#199;&#195;O%20DE%20REVESTIMENTO%20CER&#194;MICO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20%20-%20ASSENTAMENTO%20DE%20SOLEIRA%20EM%20GRANITO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21%20-%20%20ASSENTAMENTO%20DE%20MARCO%20DE%20PORTA%2080-210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22%20-%20%20ASSENTAMENTO%20DE%20ALIZAR%20DE%20PORTA%2080-210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23%20-%20%20ASSENTAMENTO%20DE%20FECHADURA%20DE%20PORTA%2080-210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24%20-%20INSTALA&#199;&#195;O%20DE%20PORTA%20DE%20MADEIRA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25%20-%20ASSENTAMENTO%20VASO%20CONVENCIONAL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26%20-%20ASSENTAMENTO%20VASO%20PDC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27%20-%20ASSENTAMENTO%20CUBA%20DE%20EMBUTIR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29%20-%20MONTAGEM%20E%20DESMONTAGEM%20F&#212;RMA%20ESCADA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28%20-%20%20FABRICA&#199;&#195;O%20DE%20F&#212;RMA%20PARA%20ESCAD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3%20-%20%20DEMOLI&#199;&#195;O%20DE%20PORTA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4%20-%20%20DEMOLI&#199;&#195;O%20DE%20LAJES%20COM%20MARTELET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5%20-%20%20DEMOLI&#199;&#195;O%20DE%20JANELA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6%20-%20%20REMO&#199;&#195;O%20DE%20LOU&#199;A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7%20-%20%20DEMOLI&#199;&#195;O%20DE%20ALVENARIA%20DE%20BLOCO%20FURAD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9%20-%20ASSENTAMENTO%20DE%20ALVENARIA%20BLOCO%20CER&#194;MICO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Reforma%20Pa&#231;o%20Municipal%20de%20Rodeiro-MG\Planilha%20Or&#231;amentaria%20-%20COMPOSI&#199;&#195;O%208%20-%20%20PREPARO%20ARGAMASSA%20TRA&#199;O%201-2-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0.0293</v>
          </cell>
        </row>
        <row r="10">
          <cell r="E10">
            <v>0.0825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0.83</v>
          </cell>
        </row>
        <row r="10">
          <cell r="E10">
            <v>0.64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1.92</v>
          </cell>
        </row>
        <row r="10">
          <cell r="E10">
            <v>0.98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0.0042</v>
          </cell>
        </row>
        <row r="10">
          <cell r="E10">
            <v>0.07</v>
          </cell>
        </row>
        <row r="11">
          <cell r="E11">
            <v>0.007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11.02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0.0376</v>
          </cell>
        </row>
        <row r="10">
          <cell r="E10">
            <v>0.58</v>
          </cell>
        </row>
        <row r="11">
          <cell r="E11">
            <v>0.211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1.02</v>
          </cell>
        </row>
        <row r="10">
          <cell r="E10">
            <v>0.5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10">
          <cell r="E10">
            <v>0.29</v>
          </cell>
        </row>
        <row r="11">
          <cell r="E11">
            <v>0.145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4.85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0.44</v>
          </cell>
        </row>
        <row r="10">
          <cell r="E10">
            <v>0.2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0.07</v>
          </cell>
        </row>
        <row r="10">
          <cell r="E10">
            <v>0.031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0.2553</v>
          </cell>
        </row>
        <row r="10">
          <cell r="E10">
            <v>0.7195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0.547</v>
          </cell>
        </row>
        <row r="10">
          <cell r="E10">
            <v>0.273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0.603</v>
          </cell>
        </row>
        <row r="10">
          <cell r="E10">
            <v>1.489</v>
          </cell>
        </row>
        <row r="11">
          <cell r="E11">
            <v>1.046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0.37</v>
          </cell>
        </row>
        <row r="10">
          <cell r="E10">
            <v>0.185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1.002</v>
          </cell>
        </row>
        <row r="10">
          <cell r="E10">
            <v>0.501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1.546</v>
          </cell>
        </row>
        <row r="10">
          <cell r="E10">
            <v>0.773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0.78</v>
          </cell>
        </row>
        <row r="10">
          <cell r="E10">
            <v>0.44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0.78</v>
          </cell>
        </row>
        <row r="10">
          <cell r="E10">
            <v>0.44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0.85</v>
          </cell>
        </row>
        <row r="10">
          <cell r="E10">
            <v>0.27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2.02</v>
          </cell>
        </row>
        <row r="10">
          <cell r="E10">
            <v>0.34</v>
          </cell>
        </row>
        <row r="11">
          <cell r="E11">
            <v>0.57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1.026</v>
          </cell>
        </row>
        <row r="10">
          <cell r="E10">
            <v>0.205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0.1315</v>
          </cell>
        </row>
        <row r="10">
          <cell r="E10">
            <v>0.2582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0.3051</v>
          </cell>
        </row>
        <row r="10">
          <cell r="E10">
            <v>3.153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0.3643</v>
          </cell>
        </row>
        <row r="10">
          <cell r="E10">
            <v>0.7156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0.1755</v>
          </cell>
        </row>
        <row r="10">
          <cell r="E10">
            <v>0.3448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0.225</v>
          </cell>
        </row>
        <row r="10">
          <cell r="E10">
            <v>2.3248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0.0098</v>
          </cell>
        </row>
        <row r="10">
          <cell r="E10">
            <v>1.69</v>
          </cell>
        </row>
        <row r="11">
          <cell r="E11">
            <v>0.845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9">
          <cell r="E9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6"/>
  <sheetViews>
    <sheetView showGridLines="0" tabSelected="1" zoomScalePageLayoutView="0" workbookViewId="0" topLeftCell="A1">
      <selection activeCell="E15" sqref="E15"/>
    </sheetView>
  </sheetViews>
  <sheetFormatPr defaultColWidth="9.140625" defaultRowHeight="15"/>
  <cols>
    <col min="1" max="1" width="4.8515625" style="1" customWidth="1"/>
    <col min="2" max="2" width="14.8515625" style="1" customWidth="1"/>
    <col min="3" max="3" width="73.57421875" style="1" customWidth="1"/>
    <col min="4" max="4" width="5.28125" style="1" bestFit="1" customWidth="1"/>
    <col min="5" max="5" width="12.140625" style="1" customWidth="1"/>
    <col min="6" max="6" width="9.421875" style="1" customWidth="1"/>
    <col min="7" max="7" width="11.421875" style="1" customWidth="1"/>
    <col min="8" max="8" width="13.00390625" style="1" customWidth="1"/>
    <col min="9" max="9" width="14.7109375" style="1" customWidth="1"/>
    <col min="10" max="12" width="9.140625" style="1" hidden="1" customWidth="1"/>
    <col min="13" max="13" width="20.140625" style="1" hidden="1" customWidth="1"/>
    <col min="14" max="14" width="13.140625" style="1" hidden="1" customWidth="1"/>
    <col min="15" max="15" width="10.421875" style="1" hidden="1" customWidth="1"/>
    <col min="16" max="16" width="10.7109375" style="1" hidden="1" customWidth="1"/>
    <col min="17" max="17" width="9.140625" style="1" hidden="1" customWidth="1"/>
    <col min="18" max="18" width="20.140625" style="1" hidden="1" customWidth="1"/>
    <col min="19" max="19" width="14.140625" style="1" hidden="1" customWidth="1"/>
    <col min="20" max="20" width="16.421875" style="1" hidden="1" customWidth="1"/>
    <col min="21" max="21" width="23.57421875" style="1" hidden="1" customWidth="1"/>
    <col min="22" max="22" width="15.140625" style="1" hidden="1" customWidth="1"/>
    <col min="23" max="23" width="11.00390625" style="1" hidden="1" customWidth="1"/>
    <col min="24" max="25" width="13.7109375" style="1" hidden="1" customWidth="1"/>
    <col min="26" max="26" width="9.8515625" style="1" hidden="1" customWidth="1"/>
    <col min="27" max="27" width="8.57421875" style="1" hidden="1" customWidth="1"/>
    <col min="28" max="28" width="21.140625" style="1" hidden="1" customWidth="1"/>
    <col min="29" max="29" width="12.8515625" style="1" hidden="1" customWidth="1"/>
    <col min="30" max="30" width="11.00390625" style="1" hidden="1" customWidth="1"/>
    <col min="31" max="31" width="9.140625" style="1" hidden="1" customWidth="1"/>
    <col min="32" max="32" width="0" style="1" hidden="1" customWidth="1"/>
    <col min="33" max="16384" width="9.140625" style="1" customWidth="1"/>
  </cols>
  <sheetData>
    <row r="1" spans="1:9" ht="54" customHeight="1">
      <c r="A1" s="177"/>
      <c r="B1" s="178"/>
      <c r="C1" s="166" t="s">
        <v>11</v>
      </c>
      <c r="D1" s="166"/>
      <c r="E1" s="166"/>
      <c r="F1" s="166"/>
      <c r="G1" s="166"/>
      <c r="H1" s="166"/>
      <c r="I1" s="167"/>
    </row>
    <row r="2" spans="1:30" ht="16.5" thickBot="1">
      <c r="A2" s="179"/>
      <c r="B2" s="180"/>
      <c r="C2" s="168"/>
      <c r="D2" s="168"/>
      <c r="E2" s="168"/>
      <c r="F2" s="168"/>
      <c r="G2" s="168"/>
      <c r="H2" s="168"/>
      <c r="I2" s="169"/>
      <c r="K2" s="1" t="s">
        <v>219</v>
      </c>
      <c r="N2" s="1" t="s">
        <v>176</v>
      </c>
      <c r="O2" s="1" t="s">
        <v>177</v>
      </c>
      <c r="P2" s="1" t="s">
        <v>178</v>
      </c>
      <c r="Q2" s="1" t="s">
        <v>179</v>
      </c>
      <c r="R2" s="1" t="s">
        <v>195</v>
      </c>
      <c r="S2" s="1" t="s">
        <v>196</v>
      </c>
      <c r="T2" s="1" t="s">
        <v>197</v>
      </c>
      <c r="U2" s="1" t="s">
        <v>198</v>
      </c>
      <c r="V2" s="1" t="s">
        <v>199</v>
      </c>
      <c r="W2" s="1" t="s">
        <v>200</v>
      </c>
      <c r="X2" s="1" t="s">
        <v>201</v>
      </c>
      <c r="Y2" s="1" t="s">
        <v>205</v>
      </c>
      <c r="Z2" s="1" t="s">
        <v>202</v>
      </c>
      <c r="AA2" s="1" t="s">
        <v>203</v>
      </c>
      <c r="AB2" s="1" t="s">
        <v>204</v>
      </c>
      <c r="AC2" s="1" t="s">
        <v>206</v>
      </c>
      <c r="AD2" s="1" t="s">
        <v>207</v>
      </c>
    </row>
    <row r="3" spans="1:17" ht="15.75" customHeight="1">
      <c r="A3" s="181" t="s">
        <v>0</v>
      </c>
      <c r="B3" s="182"/>
      <c r="C3" s="153" t="s">
        <v>14</v>
      </c>
      <c r="D3" s="154"/>
      <c r="E3" s="154"/>
      <c r="F3" s="154"/>
      <c r="G3" s="154"/>
      <c r="H3" s="191" t="s">
        <v>220</v>
      </c>
      <c r="I3" s="162" t="s">
        <v>221</v>
      </c>
      <c r="M3" s="1" t="s">
        <v>175</v>
      </c>
      <c r="N3" s="1">
        <f>4.84*5.22</f>
        <v>25.264799999999997</v>
      </c>
      <c r="O3" s="1">
        <f>2*4.84+2*5.22-1.9-0.8</f>
        <v>17.419999999999998</v>
      </c>
      <c r="P3" s="1">
        <f>0.8*0.3+2.7*2*0.3+1.9*0.3</f>
        <v>2.43</v>
      </c>
      <c r="Q3" s="1">
        <f>0.8*2.1</f>
        <v>1.6800000000000002</v>
      </c>
    </row>
    <row r="4" spans="1:17" ht="15.75">
      <c r="A4" s="183"/>
      <c r="B4" s="184"/>
      <c r="C4" s="155"/>
      <c r="D4" s="156"/>
      <c r="E4" s="156"/>
      <c r="F4" s="156"/>
      <c r="G4" s="156"/>
      <c r="H4" s="192"/>
      <c r="I4" s="163"/>
      <c r="M4" s="1" t="s">
        <v>180</v>
      </c>
      <c r="N4" s="1">
        <f>3.26*5.7+3.6*5.71</f>
        <v>39.138000000000005</v>
      </c>
      <c r="O4" s="1">
        <f>3.26*5.7-1.6-1.6+3.6*5.71</f>
        <v>35.938</v>
      </c>
      <c r="P4" s="1">
        <f>0.8*0.3*2+0.8*0.15</f>
        <v>0.6</v>
      </c>
      <c r="Q4" s="1">
        <f>0.8*2.1*2</f>
        <v>3.3600000000000003</v>
      </c>
    </row>
    <row r="5" spans="1:17" ht="15.75">
      <c r="A5" s="185" t="s">
        <v>1</v>
      </c>
      <c r="B5" s="186"/>
      <c r="C5" s="157" t="s">
        <v>227</v>
      </c>
      <c r="D5" s="158"/>
      <c r="E5" s="158"/>
      <c r="F5" s="158"/>
      <c r="G5" s="159"/>
      <c r="H5" s="193">
        <v>43857</v>
      </c>
      <c r="I5" s="164">
        <v>0.3129</v>
      </c>
      <c r="M5" s="1" t="s">
        <v>181</v>
      </c>
      <c r="N5" s="1">
        <f>5.15*5.21</f>
        <v>26.831500000000002</v>
      </c>
      <c r="O5" s="1">
        <f>5.15*2+5.21*2-0.8</f>
        <v>19.919999999999998</v>
      </c>
      <c r="P5" s="1">
        <f>0.8*0.3</f>
        <v>0.24</v>
      </c>
      <c r="Q5" s="1">
        <f>0.8*2.1</f>
        <v>1.6800000000000002</v>
      </c>
    </row>
    <row r="6" spans="1:17" ht="16.5" thickBot="1">
      <c r="A6" s="187" t="s">
        <v>13</v>
      </c>
      <c r="B6" s="188"/>
      <c r="C6" s="160" t="s">
        <v>40</v>
      </c>
      <c r="D6" s="161"/>
      <c r="E6" s="161"/>
      <c r="F6" s="161"/>
      <c r="G6" s="161"/>
      <c r="H6" s="194"/>
      <c r="I6" s="165"/>
      <c r="M6" s="1" t="s">
        <v>182</v>
      </c>
      <c r="N6" s="1">
        <f>26.6</f>
        <v>26.6</v>
      </c>
      <c r="O6" s="1">
        <f>1.3+1.38+1.66+7.01+5.23+5.34+2.65</f>
        <v>24.569999999999997</v>
      </c>
      <c r="P6" s="1">
        <f>0.8*0.3</f>
        <v>0.24</v>
      </c>
      <c r="Q6" s="1">
        <f>0.8*2.1</f>
        <v>1.6800000000000002</v>
      </c>
    </row>
    <row r="7" spans="1:17" ht="16.5" thickBot="1">
      <c r="A7" s="170"/>
      <c r="B7" s="170"/>
      <c r="C7" s="170"/>
      <c r="D7" s="170"/>
      <c r="E7" s="170"/>
      <c r="F7" s="170"/>
      <c r="G7" s="170"/>
      <c r="H7" s="170"/>
      <c r="I7" s="21"/>
      <c r="M7" s="1" t="s">
        <v>183</v>
      </c>
      <c r="N7" s="1">
        <f>2.27*2.08+1.22*5.46+1.39*22.88+1.76*4.08</f>
        <v>50.36679999999999</v>
      </c>
      <c r="O7" s="1">
        <f>2.29+7.51+1.02+1.06+0.2+2+0.2+24.1+22.88+4.1+4.1+1.76</f>
        <v>71.22</v>
      </c>
      <c r="Q7" s="1">
        <f>1.1*2.1</f>
        <v>2.3100000000000005</v>
      </c>
    </row>
    <row r="8" spans="1:17" ht="15.75" customHeight="1">
      <c r="A8" s="173" t="s">
        <v>2</v>
      </c>
      <c r="B8" s="175" t="s">
        <v>3</v>
      </c>
      <c r="C8" s="189" t="s">
        <v>16</v>
      </c>
      <c r="D8" s="189" t="s">
        <v>4</v>
      </c>
      <c r="E8" s="189" t="s">
        <v>5</v>
      </c>
      <c r="F8" s="151" t="s">
        <v>12</v>
      </c>
      <c r="G8" s="151" t="s">
        <v>222</v>
      </c>
      <c r="H8" s="171" t="s">
        <v>6</v>
      </c>
      <c r="I8" s="195" t="s">
        <v>223</v>
      </c>
      <c r="K8"/>
      <c r="M8" s="1" t="s">
        <v>184</v>
      </c>
      <c r="N8" s="1">
        <f>2.76*4.03</f>
        <v>11.1228</v>
      </c>
      <c r="O8" s="1">
        <f>2*2.76+2*4.03-0.8</f>
        <v>12.78</v>
      </c>
      <c r="P8" s="1">
        <f aca="true" t="shared" si="0" ref="P8:P16">0.8*0.3</f>
        <v>0.24</v>
      </c>
      <c r="Q8" s="1">
        <f aca="true" t="shared" si="1" ref="Q8:Q16">0.8*2.1</f>
        <v>1.6800000000000002</v>
      </c>
    </row>
    <row r="9" spans="1:17" ht="21" customHeight="1" thickBot="1">
      <c r="A9" s="174"/>
      <c r="B9" s="176"/>
      <c r="C9" s="190"/>
      <c r="D9" s="190"/>
      <c r="E9" s="190"/>
      <c r="F9" s="152"/>
      <c r="G9" s="152"/>
      <c r="H9" s="172"/>
      <c r="I9" s="196"/>
      <c r="M9" s="1" t="s">
        <v>185</v>
      </c>
      <c r="N9" s="1">
        <f>6.97*5.71</f>
        <v>39.7987</v>
      </c>
      <c r="O9" s="1">
        <f>2*6.97+2*5.7-0.8</f>
        <v>24.54</v>
      </c>
      <c r="P9" s="1">
        <f t="shared" si="0"/>
        <v>0.24</v>
      </c>
      <c r="Q9" s="1">
        <f t="shared" si="1"/>
        <v>1.6800000000000002</v>
      </c>
    </row>
    <row r="10" spans="1:17" ht="16.5" thickBot="1">
      <c r="A10" s="19"/>
      <c r="B10" s="20"/>
      <c r="C10" s="19"/>
      <c r="D10" s="19"/>
      <c r="E10" s="19"/>
      <c r="F10" s="20"/>
      <c r="G10" s="20"/>
      <c r="H10" s="20"/>
      <c r="I10" s="20"/>
      <c r="M10" s="1" t="s">
        <v>186</v>
      </c>
      <c r="N10" s="1">
        <f>3.4*5.7</f>
        <v>19.38</v>
      </c>
      <c r="O10" s="1">
        <f>2*3.4+2*5.7-0.8</f>
        <v>17.4</v>
      </c>
      <c r="P10" s="1">
        <f t="shared" si="0"/>
        <v>0.24</v>
      </c>
      <c r="Q10" s="1">
        <f t="shared" si="1"/>
        <v>1.6800000000000002</v>
      </c>
    </row>
    <row r="11" spans="1:17" ht="16.5" thickBot="1">
      <c r="A11" s="41">
        <v>1</v>
      </c>
      <c r="B11" s="42"/>
      <c r="C11" s="43" t="s">
        <v>18</v>
      </c>
      <c r="D11" s="43"/>
      <c r="E11" s="43"/>
      <c r="F11" s="44"/>
      <c r="G11" s="45"/>
      <c r="H11" s="46">
        <f>SUM(H12:H18)</f>
        <v>8591.716719</v>
      </c>
      <c r="I11" s="47">
        <f>H11*$I$5+H11</f>
        <v>11280.0648803751</v>
      </c>
      <c r="M11" s="1" t="s">
        <v>187</v>
      </c>
      <c r="N11" s="1">
        <f>4.05*6</f>
        <v>24.299999999999997</v>
      </c>
      <c r="O11" s="1">
        <f>2*4.05+2*6-0.8</f>
        <v>19.3</v>
      </c>
      <c r="P11" s="1">
        <f t="shared" si="0"/>
        <v>0.24</v>
      </c>
      <c r="Q11" s="1">
        <f t="shared" si="1"/>
        <v>1.6800000000000002</v>
      </c>
    </row>
    <row r="12" spans="1:17" ht="26.25" thickBot="1">
      <c r="A12" s="48" t="s">
        <v>10</v>
      </c>
      <c r="B12" s="49" t="s">
        <v>131</v>
      </c>
      <c r="C12" s="50" t="s">
        <v>19</v>
      </c>
      <c r="D12" s="49" t="s">
        <v>20</v>
      </c>
      <c r="E12" s="51">
        <f>O3+O4+O5+O6+O7+O8+O9+O10+O11+O12+O13+O14+O15+O16+O17+O22+O18+O23+O24+O25+O26+O27</f>
        <v>469.348</v>
      </c>
      <c r="F12" s="52">
        <v>1.65</v>
      </c>
      <c r="G12" s="53">
        <f>F12*$I$5+F12</f>
        <v>2.166285</v>
      </c>
      <c r="H12" s="54">
        <f>E12*F12</f>
        <v>774.4241999999999</v>
      </c>
      <c r="I12" s="55">
        <f aca="true" t="shared" si="2" ref="I12:I70">H12*$I$5+H12</f>
        <v>1016.7415321799999</v>
      </c>
      <c r="J12" s="1">
        <f>E12*'[1]Orçamento'!$E$9</f>
        <v>13.7518964</v>
      </c>
      <c r="K12" s="1">
        <f>E12*'[1]Orçamento'!$E$10</f>
        <v>38.721210000000006</v>
      </c>
      <c r="M12" s="1" t="s">
        <v>188</v>
      </c>
      <c r="N12" s="1">
        <f>3.42*5.7</f>
        <v>19.494</v>
      </c>
      <c r="O12" s="1">
        <f>3.42*2+5.7*2-0.8</f>
        <v>17.44</v>
      </c>
      <c r="P12" s="1">
        <f t="shared" si="0"/>
        <v>0.24</v>
      </c>
      <c r="Q12" s="1">
        <f t="shared" si="1"/>
        <v>1.6800000000000002</v>
      </c>
    </row>
    <row r="13" spans="1:17" ht="26.25" thickBot="1">
      <c r="A13" s="48" t="s">
        <v>22</v>
      </c>
      <c r="B13" s="49" t="s">
        <v>132</v>
      </c>
      <c r="C13" s="50" t="s">
        <v>21</v>
      </c>
      <c r="D13" s="49" t="s">
        <v>7</v>
      </c>
      <c r="E13" s="51">
        <f>N3+N4+N5+N6+N7+N8+N9+N10+N11+N12+N13+N14+N15+N16+N17+N18+N22+N23+N24+N25+N26+N27</f>
        <v>497.61159999999995</v>
      </c>
      <c r="F13" s="52">
        <v>14.39</v>
      </c>
      <c r="G13" s="53">
        <f aca="true" t="shared" si="3" ref="G13:G70">F13*$I$5+F13</f>
        <v>18.892631</v>
      </c>
      <c r="H13" s="54">
        <f>E13*F13</f>
        <v>7160.630924</v>
      </c>
      <c r="I13" s="55">
        <f t="shared" si="2"/>
        <v>9401.1923401196</v>
      </c>
      <c r="J13" s="1">
        <f>E13*'[2]Orçamento'!$E$9</f>
        <v>127.04024148</v>
      </c>
      <c r="K13" s="1">
        <f>E13*'[2]Orçamento'!$E$10</f>
        <v>358.0315462</v>
      </c>
      <c r="M13" s="1" t="s">
        <v>189</v>
      </c>
      <c r="N13" s="1">
        <f>4.05*2.75</f>
        <v>11.1375</v>
      </c>
      <c r="O13" s="1">
        <f>2*4.05+2*2.75-0.8</f>
        <v>12.799999999999999</v>
      </c>
      <c r="P13" s="1">
        <f t="shared" si="0"/>
        <v>0.24</v>
      </c>
      <c r="Q13" s="1">
        <f t="shared" si="1"/>
        <v>1.6800000000000002</v>
      </c>
    </row>
    <row r="14" spans="1:17" ht="16.5" thickBot="1">
      <c r="A14" s="48" t="s">
        <v>23</v>
      </c>
      <c r="B14" s="49" t="s">
        <v>133</v>
      </c>
      <c r="C14" s="50" t="s">
        <v>24</v>
      </c>
      <c r="D14" s="49" t="s">
        <v>7</v>
      </c>
      <c r="E14" s="51">
        <f>Q3+Q4+Q5+Q6+Q7+Q8+Q9+Q10+Q11+Q12+Q13+Q14+Q15+Q16+Q17+Q23+Q18+Q24+Q25+Q26+Q27+Q29+Q30+3.36</f>
        <v>43.88999999999999</v>
      </c>
      <c r="F14" s="52">
        <v>5.73</v>
      </c>
      <c r="G14" s="53">
        <f t="shared" si="3"/>
        <v>7.5229170000000005</v>
      </c>
      <c r="H14" s="54">
        <f>E14*F14</f>
        <v>251.48969999999997</v>
      </c>
      <c r="I14" s="55">
        <f t="shared" si="2"/>
        <v>330.18082712999995</v>
      </c>
      <c r="J14" s="1">
        <f>E14*'[3]Orçamento'!$E$9</f>
        <v>5.771534999999999</v>
      </c>
      <c r="K14" s="1">
        <f>E14*'[3]Orçamento'!$E$10</f>
        <v>11.332397999999998</v>
      </c>
      <c r="M14" s="1" t="s">
        <v>190</v>
      </c>
      <c r="N14" s="1">
        <f>3.1*5.7</f>
        <v>17.67</v>
      </c>
      <c r="O14" s="1">
        <f>2*3.1+2*5.7-0.8</f>
        <v>16.8</v>
      </c>
      <c r="P14" s="1">
        <f t="shared" si="0"/>
        <v>0.24</v>
      </c>
      <c r="Q14" s="1">
        <f t="shared" si="1"/>
        <v>1.6800000000000002</v>
      </c>
    </row>
    <row r="15" spans="1:22" ht="26.25" thickBot="1">
      <c r="A15" s="48" t="s">
        <v>27</v>
      </c>
      <c r="B15" s="49" t="s">
        <v>134</v>
      </c>
      <c r="C15" s="50" t="s">
        <v>25</v>
      </c>
      <c r="D15" s="49" t="s">
        <v>26</v>
      </c>
      <c r="E15" s="51">
        <f>2.5*1.1*0.25</f>
        <v>0.6875</v>
      </c>
      <c r="F15" s="52">
        <v>46.45</v>
      </c>
      <c r="G15" s="53">
        <f t="shared" si="3"/>
        <v>60.984205</v>
      </c>
      <c r="H15" s="54">
        <f>E15*F15</f>
        <v>31.934375000000003</v>
      </c>
      <c r="I15" s="55">
        <f t="shared" si="2"/>
        <v>41.926640937500004</v>
      </c>
      <c r="J15" s="1">
        <f>E15*'[4]Orçamento'!$E$9</f>
        <v>0.20975624999999998</v>
      </c>
      <c r="K15" s="1">
        <f>E15*'[4]Orçamento'!$E$10</f>
        <v>2.1676875</v>
      </c>
      <c r="M15" s="1" t="s">
        <v>191</v>
      </c>
      <c r="N15" s="1">
        <f>3.03*4.09+4.06*1.6</f>
        <v>18.8887</v>
      </c>
      <c r="O15" s="1">
        <f>2*3.03+2*4.09-1.6+2*4.06+2*1.6-0.8</f>
        <v>23.159999999999997</v>
      </c>
      <c r="P15" s="1">
        <f t="shared" si="0"/>
        <v>0.24</v>
      </c>
      <c r="Q15" s="1">
        <f t="shared" si="1"/>
        <v>1.6800000000000002</v>
      </c>
      <c r="R15" s="1">
        <f>1.6*1.68+4.05*1.6+3*1.6+1.1*1.4</f>
        <v>15.508000000000003</v>
      </c>
      <c r="T15" s="1">
        <f>2.8*2.1</f>
        <v>5.88</v>
      </c>
      <c r="V15" s="1">
        <v>1</v>
      </c>
    </row>
    <row r="16" spans="1:17" ht="16.5" thickBot="1">
      <c r="A16" s="48" t="s">
        <v>54</v>
      </c>
      <c r="B16" s="49" t="s">
        <v>135</v>
      </c>
      <c r="C16" s="50" t="s">
        <v>30</v>
      </c>
      <c r="D16" s="49" t="s">
        <v>7</v>
      </c>
      <c r="E16" s="51">
        <f>U17+U18</f>
        <v>2.304</v>
      </c>
      <c r="F16" s="52">
        <v>15.88</v>
      </c>
      <c r="G16" s="53">
        <f t="shared" si="3"/>
        <v>20.848852</v>
      </c>
      <c r="H16" s="54">
        <f>E16*F16</f>
        <v>36.58752</v>
      </c>
      <c r="I16" s="55">
        <f t="shared" si="2"/>
        <v>48.035755007999995</v>
      </c>
      <c r="J16" s="1">
        <f>E16*'[5]Orçamento'!$E$9</f>
        <v>0.8393472</v>
      </c>
      <c r="K16" s="1">
        <f>E16*'[5]Orçamento'!$E$10</f>
        <v>1.6487424</v>
      </c>
      <c r="M16" s="1" t="s">
        <v>192</v>
      </c>
      <c r="N16" s="1">
        <f>4.51*5.85</f>
        <v>26.383499999999998</v>
      </c>
      <c r="O16" s="1">
        <f>2*4.51+2*5.85-0.8</f>
        <v>19.919999999999998</v>
      </c>
      <c r="P16" s="1">
        <f t="shared" si="0"/>
        <v>0.24</v>
      </c>
      <c r="Q16" s="1">
        <f t="shared" si="1"/>
        <v>1.6800000000000002</v>
      </c>
    </row>
    <row r="17" spans="1:30" ht="16.5" thickBot="1">
      <c r="A17" s="48" t="s">
        <v>55</v>
      </c>
      <c r="B17" s="49" t="s">
        <v>136</v>
      </c>
      <c r="C17" s="50" t="s">
        <v>36</v>
      </c>
      <c r="D17" s="49" t="s">
        <v>35</v>
      </c>
      <c r="E17" s="51">
        <f>V17+V18+V15</f>
        <v>7</v>
      </c>
      <c r="F17" s="52">
        <v>7.58</v>
      </c>
      <c r="G17" s="53">
        <f t="shared" si="3"/>
        <v>9.951782</v>
      </c>
      <c r="H17" s="54">
        <f>E17*F17</f>
        <v>53.06</v>
      </c>
      <c r="I17" s="55">
        <f t="shared" si="2"/>
        <v>69.662474</v>
      </c>
      <c r="J17" s="1">
        <f>E17*'[6]Orçamento'!$E$9</f>
        <v>1.2285</v>
      </c>
      <c r="K17" s="1">
        <f>E17*'[6]Orçamento'!$E$10</f>
        <v>2.4135999999999997</v>
      </c>
      <c r="M17" s="1" t="s">
        <v>193</v>
      </c>
      <c r="N17" s="1">
        <f>1.84*3.46</f>
        <v>6.3664000000000005</v>
      </c>
      <c r="O17" s="1">
        <f>2*1.84+2*3.29-0.8</f>
        <v>9.459999999999999</v>
      </c>
      <c r="P17" s="1">
        <f>0.7*0.15</f>
        <v>0.105</v>
      </c>
      <c r="Q17" s="1">
        <f>0.7*2.1</f>
        <v>1.47</v>
      </c>
      <c r="R17" s="1">
        <f>2*1.5*3.46+2*1.5*1.84-1.5*0.7</f>
        <v>14.849999999999998</v>
      </c>
      <c r="S17" s="1">
        <f>1.84*3.29</f>
        <v>6.0536</v>
      </c>
      <c r="T17" s="1">
        <f>0.8*1.5</f>
        <v>1.2000000000000002</v>
      </c>
      <c r="U17" s="1">
        <f>2*0.96*0.6</f>
        <v>1.152</v>
      </c>
      <c r="V17" s="1">
        <v>3</v>
      </c>
      <c r="W17" s="1">
        <v>1</v>
      </c>
      <c r="X17" s="1">
        <v>1</v>
      </c>
      <c r="Y17" s="1">
        <v>2</v>
      </c>
      <c r="Z17" s="1">
        <f>S17*2</f>
        <v>12.1072</v>
      </c>
      <c r="AA17" s="1">
        <f>T17*2</f>
        <v>2.4000000000000004</v>
      </c>
      <c r="AB17" s="1">
        <f>(2*1.84*1.6+2*1.73*1.6-0.8*1.6)</f>
        <v>10.144000000000002</v>
      </c>
      <c r="AC17" s="1">
        <f>(2*1.84+2*1.73-0.8)*2</f>
        <v>12.680000000000001</v>
      </c>
      <c r="AD17" s="1">
        <f>2*1.84*1.73</f>
        <v>6.3664000000000005</v>
      </c>
    </row>
    <row r="18" spans="1:30" ht="26.25" thickBot="1">
      <c r="A18" s="56" t="s">
        <v>105</v>
      </c>
      <c r="B18" s="57" t="s">
        <v>137</v>
      </c>
      <c r="C18" s="58" t="s">
        <v>92</v>
      </c>
      <c r="D18" s="59" t="s">
        <v>7</v>
      </c>
      <c r="E18" s="60">
        <f>T15+T17+T18</f>
        <v>8.280000000000001</v>
      </c>
      <c r="F18" s="61">
        <v>34.25</v>
      </c>
      <c r="G18" s="53">
        <f t="shared" si="3"/>
        <v>44.966825</v>
      </c>
      <c r="H18" s="62">
        <f>E18*F18</f>
        <v>283.59000000000003</v>
      </c>
      <c r="I18" s="55">
        <f t="shared" si="2"/>
        <v>372.32531100000006</v>
      </c>
      <c r="J18" s="1">
        <f>'[7]Orçamento'!$E$9*E18</f>
        <v>1.8630000000000002</v>
      </c>
      <c r="K18" s="1">
        <f>E18*'[7]Orçamento'!$E$10</f>
        <v>19.249344000000004</v>
      </c>
      <c r="M18" s="1" t="s">
        <v>194</v>
      </c>
      <c r="N18" s="1">
        <f>1.84*3.46</f>
        <v>6.3664000000000005</v>
      </c>
      <c r="O18" s="1">
        <f>2*1.84+2*3.29-0.8</f>
        <v>9.459999999999999</v>
      </c>
      <c r="P18" s="1">
        <f>0.7*0.15</f>
        <v>0.105</v>
      </c>
      <c r="Q18" s="1">
        <f>0.7*2.1</f>
        <v>1.47</v>
      </c>
      <c r="R18" s="1">
        <f>2*1.5*3.46+2*1.5*1.84-1.5*0.7</f>
        <v>14.849999999999998</v>
      </c>
      <c r="S18" s="1">
        <f>1.84*3.29</f>
        <v>6.0536</v>
      </c>
      <c r="T18" s="1">
        <f>0.8*1.5</f>
        <v>1.2000000000000002</v>
      </c>
      <c r="U18" s="1">
        <f>2*0.96*0.6</f>
        <v>1.152</v>
      </c>
      <c r="V18" s="1">
        <v>3</v>
      </c>
      <c r="W18" s="1">
        <v>1</v>
      </c>
      <c r="X18" s="1">
        <v>1</v>
      </c>
      <c r="Y18" s="1">
        <v>2</v>
      </c>
      <c r="Z18" s="1">
        <f>S18*2</f>
        <v>12.1072</v>
      </c>
      <c r="AA18" s="1">
        <f>T18*2</f>
        <v>2.4000000000000004</v>
      </c>
      <c r="AB18" s="1">
        <f>(2*1.84*1.6+2*1.73*1.6-0.8*1.6)*2</f>
        <v>20.288000000000004</v>
      </c>
      <c r="AC18" s="1">
        <f>(2*1.84+2*1.73-0.8)*2</f>
        <v>12.680000000000001</v>
      </c>
      <c r="AD18" s="1">
        <f>2*1.84*1.73</f>
        <v>6.3664000000000005</v>
      </c>
    </row>
    <row r="19" spans="1:11" ht="16.5" thickBot="1">
      <c r="A19" s="41">
        <v>2</v>
      </c>
      <c r="B19" s="42"/>
      <c r="C19" s="43" t="s">
        <v>32</v>
      </c>
      <c r="D19" s="43"/>
      <c r="E19" s="43"/>
      <c r="F19" s="43"/>
      <c r="G19" s="63"/>
      <c r="H19" s="46">
        <f>H20</f>
        <v>510.98299999999995</v>
      </c>
      <c r="I19" s="47">
        <f t="shared" si="2"/>
        <v>670.8695806999999</v>
      </c>
      <c r="J19" s="1">
        <f>SUM(J12:J18)</f>
        <v>150.70427633</v>
      </c>
      <c r="K19" s="1">
        <f>SUM(K12:K18)</f>
        <v>433.56452809999996</v>
      </c>
    </row>
    <row r="20" spans="1:13" ht="39" thickBot="1">
      <c r="A20" s="48" t="s">
        <v>56</v>
      </c>
      <c r="B20" s="49" t="s">
        <v>138</v>
      </c>
      <c r="C20" s="50" t="s">
        <v>41</v>
      </c>
      <c r="D20" s="49" t="s">
        <v>7</v>
      </c>
      <c r="E20" s="51">
        <v>12.1</v>
      </c>
      <c r="F20" s="51">
        <v>42.23</v>
      </c>
      <c r="G20" s="53">
        <f t="shared" si="3"/>
        <v>55.443766999999994</v>
      </c>
      <c r="H20" s="54">
        <f>E20*F20</f>
        <v>510.98299999999995</v>
      </c>
      <c r="I20" s="55">
        <f t="shared" si="2"/>
        <v>670.8695806999999</v>
      </c>
      <c r="J20" s="1">
        <f>E20*'[8]Orçamento'!$E$10</f>
        <v>20.448999999999998</v>
      </c>
      <c r="K20" s="1">
        <f>E20*'[8]Orçamento'!$E$11+('[8]Orçamento'!$E$9*E20*'[9]Orçamento'!$E$9)</f>
        <v>10.758109999999999</v>
      </c>
      <c r="M20" s="1" t="s">
        <v>208</v>
      </c>
    </row>
    <row r="21" spans="1:9" ht="16.5" thickBot="1">
      <c r="A21" s="41">
        <v>3</v>
      </c>
      <c r="B21" s="42"/>
      <c r="C21" s="43" t="s">
        <v>50</v>
      </c>
      <c r="D21" s="43"/>
      <c r="E21" s="64"/>
      <c r="F21" s="43"/>
      <c r="G21" s="63"/>
      <c r="H21" s="46">
        <f>H22+H23</f>
        <v>118.78999999999999</v>
      </c>
      <c r="I21" s="47">
        <f t="shared" si="2"/>
        <v>155.95939099999998</v>
      </c>
    </row>
    <row r="22" spans="1:15" ht="26.25" thickBot="1">
      <c r="A22" s="48" t="s">
        <v>57</v>
      </c>
      <c r="B22" s="49" t="s">
        <v>139</v>
      </c>
      <c r="C22" s="50" t="s">
        <v>94</v>
      </c>
      <c r="D22" s="49" t="s">
        <v>35</v>
      </c>
      <c r="E22" s="51">
        <v>1</v>
      </c>
      <c r="F22" s="51">
        <v>22.97</v>
      </c>
      <c r="G22" s="53">
        <f t="shared" si="3"/>
        <v>30.157313</v>
      </c>
      <c r="H22" s="54">
        <f>E22*F22</f>
        <v>22.97</v>
      </c>
      <c r="I22" s="55">
        <f t="shared" si="2"/>
        <v>30.157313</v>
      </c>
      <c r="J22" s="1">
        <f>E22*'[10]Orçamento'!$E$9</f>
        <v>0.83</v>
      </c>
      <c r="K22" s="1">
        <f>E22*'[10]Orçamento'!$E$10</f>
        <v>0.64</v>
      </c>
      <c r="M22" s="1" t="s">
        <v>183</v>
      </c>
      <c r="N22" s="1">
        <f>1.45*11.5+2.78*2.63+1.8*1.25+1.4*1.53+1.9*7.23+3.8*2.01+2.01*4.41+3*4.41</f>
        <v>71.8475</v>
      </c>
      <c r="O22" s="1">
        <f>5.14-0.8+3.53+0.6+0.8+0.83+1.47+1.4+0.6+3.4+0.6+0.63+1.28+0.84+0.7+1.3+0.85+0.7+1.3+0.85+3.5+9+1.9+7.2+6.1</f>
        <v>53.720000000000006</v>
      </c>
    </row>
    <row r="23" spans="1:17" ht="26.25" thickBot="1">
      <c r="A23" s="56" t="s">
        <v>106</v>
      </c>
      <c r="B23" s="57" t="s">
        <v>140</v>
      </c>
      <c r="C23" s="58" t="s">
        <v>93</v>
      </c>
      <c r="D23" s="59" t="s">
        <v>35</v>
      </c>
      <c r="E23" s="60">
        <v>2</v>
      </c>
      <c r="F23" s="60">
        <v>47.91</v>
      </c>
      <c r="G23" s="53">
        <f t="shared" si="3"/>
        <v>62.901039</v>
      </c>
      <c r="H23" s="62">
        <f>E23*F23</f>
        <v>95.82</v>
      </c>
      <c r="I23" s="55">
        <f t="shared" si="2"/>
        <v>125.802078</v>
      </c>
      <c r="J23" s="1">
        <f>E23*'[11]Orçamento'!$E$9</f>
        <v>3.84</v>
      </c>
      <c r="K23" s="1">
        <f>E23*'[11]Orçamento'!$E$10</f>
        <v>1.96</v>
      </c>
      <c r="M23" s="1" t="s">
        <v>209</v>
      </c>
      <c r="N23" s="1">
        <f>2.85*3.55</f>
        <v>10.1175</v>
      </c>
      <c r="O23" s="1">
        <f>2*2.85+2*3.55-0.8</f>
        <v>12</v>
      </c>
      <c r="P23" s="1">
        <f>0.8*0.3</f>
        <v>0.24</v>
      </c>
      <c r="Q23" s="1">
        <f>0.8*2.1</f>
        <v>1.6800000000000002</v>
      </c>
    </row>
    <row r="24" spans="1:17" ht="16.5" thickBot="1">
      <c r="A24" s="41">
        <v>4</v>
      </c>
      <c r="B24" s="42"/>
      <c r="C24" s="43" t="s">
        <v>51</v>
      </c>
      <c r="D24" s="43"/>
      <c r="E24" s="64"/>
      <c r="F24" s="43"/>
      <c r="G24" s="63"/>
      <c r="H24" s="46">
        <f>H25+H26+H27</f>
        <v>1565.1799999999998</v>
      </c>
      <c r="I24" s="47">
        <f t="shared" si="2"/>
        <v>2054.924822</v>
      </c>
      <c r="M24" s="1" t="s">
        <v>210</v>
      </c>
      <c r="N24" s="1">
        <f>2.75*3.65</f>
        <v>10.0375</v>
      </c>
      <c r="O24" s="1">
        <f>2*2.75+2*3.65-0.8</f>
        <v>12</v>
      </c>
      <c r="P24" s="1">
        <f>0.8*0.3</f>
        <v>0.24</v>
      </c>
      <c r="Q24" s="1">
        <f>0.8*2.1</f>
        <v>1.6800000000000002</v>
      </c>
    </row>
    <row r="25" spans="1:17" ht="26.25" thickBot="1">
      <c r="A25" s="56" t="s">
        <v>107</v>
      </c>
      <c r="B25" s="57" t="s">
        <v>78</v>
      </c>
      <c r="C25" s="58" t="s">
        <v>71</v>
      </c>
      <c r="D25" s="57" t="s">
        <v>77</v>
      </c>
      <c r="E25" s="60">
        <v>4</v>
      </c>
      <c r="F25" s="60">
        <v>65.77</v>
      </c>
      <c r="G25" s="53">
        <f t="shared" si="3"/>
        <v>86.34943299999999</v>
      </c>
      <c r="H25" s="62">
        <f>E25*F25</f>
        <v>263.08</v>
      </c>
      <c r="I25" s="55">
        <f t="shared" si="2"/>
        <v>345.39773199999996</v>
      </c>
      <c r="M25" s="1" t="s">
        <v>211</v>
      </c>
      <c r="N25" s="1">
        <f>2.8*3.65</f>
        <v>10.219999999999999</v>
      </c>
      <c r="O25" s="1">
        <f>2*2.8+2*3.65-0.8</f>
        <v>12.099999999999998</v>
      </c>
      <c r="P25" s="1">
        <f>0.8*0.3</f>
        <v>0.24</v>
      </c>
      <c r="Q25" s="1">
        <f>0.8*2.1</f>
        <v>1.6800000000000002</v>
      </c>
    </row>
    <row r="26" spans="1:17" ht="26.25" thickBot="1">
      <c r="A26" s="56" t="s">
        <v>108</v>
      </c>
      <c r="B26" s="57" t="s">
        <v>79</v>
      </c>
      <c r="C26" s="58" t="s">
        <v>72</v>
      </c>
      <c r="D26" s="57" t="s">
        <v>77</v>
      </c>
      <c r="E26" s="60">
        <v>10</v>
      </c>
      <c r="F26" s="60">
        <v>47.6</v>
      </c>
      <c r="G26" s="53">
        <f t="shared" si="3"/>
        <v>62.49404</v>
      </c>
      <c r="H26" s="62">
        <f>E26*F26</f>
        <v>476</v>
      </c>
      <c r="I26" s="55">
        <f t="shared" si="2"/>
        <v>624.9404</v>
      </c>
      <c r="M26" s="1" t="s">
        <v>212</v>
      </c>
      <c r="N26" s="1">
        <f>3.6*2.8</f>
        <v>10.08</v>
      </c>
      <c r="O26" s="1">
        <f>2*3.6+2*2.8-0.8</f>
        <v>12</v>
      </c>
      <c r="P26" s="1">
        <f>0.8*0.3</f>
        <v>0.24</v>
      </c>
      <c r="Q26" s="1">
        <f>0.8*2.1</f>
        <v>1.6800000000000002</v>
      </c>
    </row>
    <row r="27" spans="1:17" ht="16.5" thickBot="1">
      <c r="A27" s="56" t="s">
        <v>109</v>
      </c>
      <c r="B27" s="57" t="s">
        <v>80</v>
      </c>
      <c r="C27" s="58" t="s">
        <v>73</v>
      </c>
      <c r="D27" s="57" t="s">
        <v>77</v>
      </c>
      <c r="E27" s="60">
        <v>10</v>
      </c>
      <c r="F27" s="60">
        <v>82.61</v>
      </c>
      <c r="G27" s="53">
        <f t="shared" si="3"/>
        <v>108.458669</v>
      </c>
      <c r="H27" s="62">
        <f>E27*F27</f>
        <v>826.1</v>
      </c>
      <c r="I27" s="55">
        <f t="shared" si="2"/>
        <v>1084.58669</v>
      </c>
      <c r="M27" s="1" t="s">
        <v>213</v>
      </c>
      <c r="N27" s="1">
        <f>3.6*4.5</f>
        <v>16.2</v>
      </c>
      <c r="O27" s="1">
        <f>3.6*2+2*4.5-0.8</f>
        <v>15.399999999999999</v>
      </c>
      <c r="P27" s="1">
        <f>0.8*0.3</f>
        <v>0.24</v>
      </c>
      <c r="Q27" s="1">
        <f>0.8*2.1</f>
        <v>1.6800000000000002</v>
      </c>
    </row>
    <row r="28" spans="1:9" ht="27" thickBot="1">
      <c r="A28" s="56" t="s">
        <v>215</v>
      </c>
      <c r="B28" s="57" t="s">
        <v>217</v>
      </c>
      <c r="C28" s="65" t="s">
        <v>225</v>
      </c>
      <c r="D28" s="59" t="s">
        <v>20</v>
      </c>
      <c r="E28" s="60">
        <v>40</v>
      </c>
      <c r="F28" s="60">
        <v>34.44</v>
      </c>
      <c r="G28" s="53">
        <f t="shared" si="3"/>
        <v>45.21627599999999</v>
      </c>
      <c r="H28" s="62">
        <f>E28*F28</f>
        <v>1377.6</v>
      </c>
      <c r="I28" s="55">
        <f t="shared" si="2"/>
        <v>1808.65104</v>
      </c>
    </row>
    <row r="29" spans="1:17" ht="16.5" thickBot="1">
      <c r="A29" s="41">
        <v>5</v>
      </c>
      <c r="B29" s="42"/>
      <c r="C29" s="66" t="s">
        <v>52</v>
      </c>
      <c r="D29" s="43"/>
      <c r="E29" s="64"/>
      <c r="F29" s="43"/>
      <c r="G29" s="63"/>
      <c r="H29" s="46">
        <f>H30+H31+H32</f>
        <v>2038.6399999999999</v>
      </c>
      <c r="I29" s="47">
        <f t="shared" si="2"/>
        <v>2676.530456</v>
      </c>
      <c r="M29" s="1" t="s">
        <v>214</v>
      </c>
      <c r="P29" s="1">
        <f>0.8*0.15</f>
        <v>0.12</v>
      </c>
      <c r="Q29" s="1">
        <f>0.8*2.1</f>
        <v>1.6800000000000002</v>
      </c>
    </row>
    <row r="30" spans="1:17" ht="26.25" thickBot="1">
      <c r="A30" s="56" t="s">
        <v>110</v>
      </c>
      <c r="B30" s="57" t="s">
        <v>81</v>
      </c>
      <c r="C30" s="58" t="s">
        <v>74</v>
      </c>
      <c r="D30" s="57" t="s">
        <v>77</v>
      </c>
      <c r="E30" s="60">
        <v>4</v>
      </c>
      <c r="F30" s="60">
        <v>163.17</v>
      </c>
      <c r="G30" s="53">
        <f t="shared" si="3"/>
        <v>214.22589299999999</v>
      </c>
      <c r="H30" s="62">
        <f>E30*F30</f>
        <v>652.68</v>
      </c>
      <c r="I30" s="55">
        <f t="shared" si="2"/>
        <v>856.9035719999999</v>
      </c>
      <c r="M30" s="1" t="s">
        <v>193</v>
      </c>
      <c r="P30" s="1">
        <f>0.8*0.15</f>
        <v>0.12</v>
      </c>
      <c r="Q30" s="1">
        <f>0.8*2.1</f>
        <v>1.6800000000000002</v>
      </c>
    </row>
    <row r="31" spans="1:9" ht="26.25" thickBot="1">
      <c r="A31" s="56" t="s">
        <v>111</v>
      </c>
      <c r="B31" s="57" t="s">
        <v>82</v>
      </c>
      <c r="C31" s="58" t="s">
        <v>75</v>
      </c>
      <c r="D31" s="57" t="s">
        <v>77</v>
      </c>
      <c r="E31" s="60">
        <v>4</v>
      </c>
      <c r="F31" s="60">
        <v>151.32</v>
      </c>
      <c r="G31" s="53">
        <f t="shared" si="3"/>
        <v>198.668028</v>
      </c>
      <c r="H31" s="62">
        <f>E31*F31</f>
        <v>605.28</v>
      </c>
      <c r="I31" s="55">
        <f t="shared" si="2"/>
        <v>794.672112</v>
      </c>
    </row>
    <row r="32" spans="1:14" ht="26.25" thickBot="1">
      <c r="A32" s="56" t="s">
        <v>112</v>
      </c>
      <c r="B32" s="57" t="s">
        <v>83</v>
      </c>
      <c r="C32" s="58" t="s">
        <v>76</v>
      </c>
      <c r="D32" s="57" t="s">
        <v>77</v>
      </c>
      <c r="E32" s="60">
        <v>4</v>
      </c>
      <c r="F32" s="60">
        <v>195.17</v>
      </c>
      <c r="G32" s="53">
        <f t="shared" si="3"/>
        <v>256.238693</v>
      </c>
      <c r="H32" s="62">
        <f>E32*F32</f>
        <v>780.68</v>
      </c>
      <c r="I32" s="55">
        <f t="shared" si="2"/>
        <v>1024.954772</v>
      </c>
      <c r="M32" s="1" t="s">
        <v>216</v>
      </c>
      <c r="N32" s="1">
        <v>103.7</v>
      </c>
    </row>
    <row r="33" spans="1:9" ht="16.5" thickBot="1">
      <c r="A33" s="41">
        <v>6</v>
      </c>
      <c r="B33" s="42"/>
      <c r="C33" s="43" t="s">
        <v>28</v>
      </c>
      <c r="D33" s="43"/>
      <c r="E33" s="64"/>
      <c r="F33" s="43"/>
      <c r="G33" s="63"/>
      <c r="H33" s="46">
        <f>H34+H35+H36</f>
        <v>6246.102424000001</v>
      </c>
      <c r="I33" s="47">
        <f t="shared" si="2"/>
        <v>8200.507872469601</v>
      </c>
    </row>
    <row r="34" spans="1:28" ht="26.25" thickBot="1">
      <c r="A34" s="56" t="s">
        <v>58</v>
      </c>
      <c r="B34" s="57" t="s">
        <v>141</v>
      </c>
      <c r="C34" s="67" t="s">
        <v>43</v>
      </c>
      <c r="D34" s="59" t="s">
        <v>7</v>
      </c>
      <c r="E34" s="68">
        <f>Z17+Z18+Z35</f>
        <v>210.2144</v>
      </c>
      <c r="F34" s="60">
        <v>1.96</v>
      </c>
      <c r="G34" s="53">
        <f t="shared" si="3"/>
        <v>2.573284</v>
      </c>
      <c r="H34" s="62">
        <f>E34*F34</f>
        <v>412.02022400000004</v>
      </c>
      <c r="I34" s="55">
        <f t="shared" si="2"/>
        <v>540.9413520896001</v>
      </c>
      <c r="J34" s="1">
        <f>E34*'[12]Orçamento'!$E$10</f>
        <v>14.715008000000003</v>
      </c>
      <c r="K34" s="1">
        <f>E34*'[12]Orçamento'!$E$11+('[12]Orçamento'!$E$9*E34*'[13]Orçamento'!$E$9)</f>
        <v>11.201064089599999</v>
      </c>
      <c r="AA34" s="1">
        <f>0.2*19+11.5*0.2</f>
        <v>6.1000000000000005</v>
      </c>
      <c r="AB34" s="1">
        <f>19*1.8+11.5*1.9</f>
        <v>56.05</v>
      </c>
    </row>
    <row r="35" spans="1:27" ht="51.75" thickBot="1">
      <c r="A35" s="56" t="s">
        <v>59</v>
      </c>
      <c r="B35" s="57" t="s">
        <v>142</v>
      </c>
      <c r="C35" s="58" t="s">
        <v>44</v>
      </c>
      <c r="D35" s="59" t="s">
        <v>7</v>
      </c>
      <c r="E35" s="60">
        <f>AA17+AA18+AA34+AA35</f>
        <v>196.9</v>
      </c>
      <c r="F35" s="60">
        <v>15.81</v>
      </c>
      <c r="G35" s="53">
        <f t="shared" si="3"/>
        <v>20.756949</v>
      </c>
      <c r="H35" s="62">
        <f>E35*F35</f>
        <v>3112.989</v>
      </c>
      <c r="I35" s="55">
        <f t="shared" si="2"/>
        <v>4087.0432581</v>
      </c>
      <c r="J35" s="1">
        <f>E35*'[14]Orçamento'!$E$10</f>
        <v>114.202</v>
      </c>
      <c r="K35" s="1">
        <f>E35*'[14]Orçamento'!$E$11+('[14]Orçamento'!$E$9*E35*'[9]Orçamento'!$E$9)</f>
        <v>74.86138</v>
      </c>
      <c r="M35" s="1" t="s">
        <v>218</v>
      </c>
      <c r="Z35" s="1">
        <f>(12.5+16.5+5.5+4+2+2+4)*4</f>
        <v>186</v>
      </c>
      <c r="AA35" s="1">
        <f>Z35</f>
        <v>186</v>
      </c>
    </row>
    <row r="36" spans="1:11" ht="39" thickBot="1">
      <c r="A36" s="48" t="s">
        <v>60</v>
      </c>
      <c r="B36" s="49" t="s">
        <v>143</v>
      </c>
      <c r="C36" s="50" t="s">
        <v>31</v>
      </c>
      <c r="D36" s="49" t="s">
        <v>7</v>
      </c>
      <c r="E36" s="51">
        <f>R15+AB17+AB18+AB34</f>
        <v>101.99000000000001</v>
      </c>
      <c r="F36" s="51">
        <v>26.68</v>
      </c>
      <c r="G36" s="53">
        <f t="shared" si="3"/>
        <v>35.028172</v>
      </c>
      <c r="H36" s="62">
        <f>E36*F36</f>
        <v>2721.0932000000003</v>
      </c>
      <c r="I36" s="55">
        <f t="shared" si="2"/>
        <v>3572.5232622800004</v>
      </c>
      <c r="J36" s="1">
        <f>E36*'[15]Orçamento'!$E$9</f>
        <v>104.02980000000001</v>
      </c>
      <c r="K36" s="1">
        <f>E36*'[15]Orçamento'!$E$10</f>
        <v>50.995000000000005</v>
      </c>
    </row>
    <row r="37" spans="1:9" ht="16.5" thickBot="1">
      <c r="A37" s="41">
        <v>7</v>
      </c>
      <c r="B37" s="42"/>
      <c r="C37" s="43" t="s">
        <v>53</v>
      </c>
      <c r="D37" s="43"/>
      <c r="E37" s="64"/>
      <c r="F37" s="43"/>
      <c r="G37" s="63"/>
      <c r="H37" s="46">
        <f>H38+H39+H40+H41</f>
        <v>12821.229904</v>
      </c>
      <c r="I37" s="47">
        <f t="shared" si="2"/>
        <v>16832.9927409616</v>
      </c>
    </row>
    <row r="38" spans="1:11" ht="39" thickBot="1">
      <c r="A38" s="48" t="s">
        <v>61</v>
      </c>
      <c r="B38" s="49" t="s">
        <v>144</v>
      </c>
      <c r="C38" s="69" t="s">
        <v>42</v>
      </c>
      <c r="D38" s="49" t="s">
        <v>7</v>
      </c>
      <c r="E38" s="51">
        <f>(N3+N4+N5+N6+N8+N9+N10+N11+N12+N13+N14+N15+N16+N22+N23+N24+N25+N26+N27+N32)+(N7+N17+N18)*2</f>
        <v>664.4112</v>
      </c>
      <c r="F38" s="51">
        <v>9.42</v>
      </c>
      <c r="G38" s="53">
        <f t="shared" si="3"/>
        <v>12.367518</v>
      </c>
      <c r="H38" s="54">
        <f>E38*F38</f>
        <v>6258.753504</v>
      </c>
      <c r="I38" s="55">
        <f t="shared" si="2"/>
        <v>8217.117475401601</v>
      </c>
      <c r="J38" s="1">
        <f>E38*'[16]Orçamento'!$E$10</f>
        <v>192.679248</v>
      </c>
      <c r="K38" s="1">
        <f>'[16]Orçamento'!$E$11*E38+(E38*'[16]Orçamento'!$E$11*'[17]Orçamento'!$E$9)</f>
        <v>563.5868003999999</v>
      </c>
    </row>
    <row r="39" spans="1:11" ht="26.25" thickBot="1">
      <c r="A39" s="48" t="s">
        <v>62</v>
      </c>
      <c r="B39" s="49" t="s">
        <v>145</v>
      </c>
      <c r="C39" s="50" t="s">
        <v>29</v>
      </c>
      <c r="D39" s="49" t="s">
        <v>7</v>
      </c>
      <c r="E39" s="51">
        <f>N3+N4+N5+N6+N7+N8+N9+N10+N11+N12+N13+N14+N15+N16+N17+N18+N22+N23+N24+N25+N26+N27</f>
        <v>497.61159999999995</v>
      </c>
      <c r="F39" s="51">
        <v>11.3</v>
      </c>
      <c r="G39" s="53">
        <f t="shared" si="3"/>
        <v>14.83577</v>
      </c>
      <c r="H39" s="62">
        <f>E39*F39</f>
        <v>5623.01108</v>
      </c>
      <c r="I39" s="55">
        <f t="shared" si="2"/>
        <v>7382.451246932001</v>
      </c>
      <c r="J39" s="1">
        <f>E39*'[18]Orçamento'!$E$9</f>
        <v>218.94910399999998</v>
      </c>
      <c r="K39" s="1">
        <f>E39*'[18]Orçamento'!$E$10</f>
        <v>99.52232</v>
      </c>
    </row>
    <row r="40" spans="1:11" ht="26.25" thickBot="1">
      <c r="A40" s="56" t="s">
        <v>63</v>
      </c>
      <c r="B40" s="57" t="s">
        <v>146</v>
      </c>
      <c r="C40" s="70" t="s">
        <v>45</v>
      </c>
      <c r="D40" s="57" t="s">
        <v>20</v>
      </c>
      <c r="E40" s="71">
        <f>O3+O4+O5+O6+O7+O8+O9+O10+O11+O12+O13+O14+O15+O16+O17+O18+O22+O23+O24+O25+O26+O27</f>
        <v>469.348</v>
      </c>
      <c r="F40" s="60">
        <v>1.79</v>
      </c>
      <c r="G40" s="53">
        <f t="shared" si="3"/>
        <v>2.350091</v>
      </c>
      <c r="H40" s="62">
        <f>E40*F40</f>
        <v>840.13292</v>
      </c>
      <c r="I40" s="55">
        <f t="shared" si="2"/>
        <v>1103.010510668</v>
      </c>
      <c r="J40" s="1">
        <f>E40*'[19]Orçamento'!$E$9</f>
        <v>32.85436000000001</v>
      </c>
      <c r="K40" s="1">
        <f>E40*'[19]Orçamento'!$E$10</f>
        <v>14.549788</v>
      </c>
    </row>
    <row r="41" spans="1:11" ht="16.5" thickBot="1">
      <c r="A41" s="56" t="s">
        <v>64</v>
      </c>
      <c r="B41" s="57" t="s">
        <v>147</v>
      </c>
      <c r="C41" s="70" t="s">
        <v>46</v>
      </c>
      <c r="D41" s="57" t="s">
        <v>7</v>
      </c>
      <c r="E41" s="71">
        <f>P3+P4+P5+P6+P8+P9+P10+P11+P12+P13+P14+P15+P16+P17+P18+P23+P24+P25+P26+P27+P29+P30</f>
        <v>7.320000000000005</v>
      </c>
      <c r="F41" s="60">
        <v>13.57</v>
      </c>
      <c r="G41" s="53">
        <f t="shared" si="3"/>
        <v>17.816053</v>
      </c>
      <c r="H41" s="62">
        <f>E41*F41</f>
        <v>99.33240000000006</v>
      </c>
      <c r="I41" s="55">
        <f t="shared" si="2"/>
        <v>130.4135079600001</v>
      </c>
      <c r="J41" s="1">
        <f>E41*'[20]Orçamento'!$E$9</f>
        <v>4.0040400000000025</v>
      </c>
      <c r="K41" s="1">
        <f>E41*'[20]Orçamento'!$E$10</f>
        <v>1.9983600000000015</v>
      </c>
    </row>
    <row r="42" spans="1:9" ht="16.5" thickBot="1">
      <c r="A42" s="41">
        <v>8</v>
      </c>
      <c r="B42" s="42"/>
      <c r="C42" s="43" t="s">
        <v>33</v>
      </c>
      <c r="D42" s="43"/>
      <c r="E42" s="64"/>
      <c r="F42" s="43"/>
      <c r="G42" s="63"/>
      <c r="H42" s="46">
        <f>H43+H44+H45+H46</f>
        <v>2914.5</v>
      </c>
      <c r="I42" s="47">
        <f t="shared" si="2"/>
        <v>3826.4470499999998</v>
      </c>
    </row>
    <row r="43" spans="1:11" ht="26.25" thickBot="1">
      <c r="A43" s="72" t="s">
        <v>65</v>
      </c>
      <c r="B43" s="73" t="s">
        <v>148</v>
      </c>
      <c r="C43" s="74" t="s">
        <v>47</v>
      </c>
      <c r="D43" s="75" t="s">
        <v>35</v>
      </c>
      <c r="E43" s="91">
        <v>25</v>
      </c>
      <c r="F43" s="76">
        <v>50.31</v>
      </c>
      <c r="G43" s="53">
        <f t="shared" si="3"/>
        <v>66.05199900000001</v>
      </c>
      <c r="H43" s="77">
        <f>E43*F43</f>
        <v>1257.75</v>
      </c>
      <c r="I43" s="55">
        <f t="shared" si="2"/>
        <v>1651.299975</v>
      </c>
      <c r="J43" s="1">
        <f>E43*('[21]Orçamento'!$E$9+'[21]Orçamento'!$E$10)</f>
        <v>52.300000000000004</v>
      </c>
      <c r="K43" s="1">
        <f>E43*'[21]Orçamento'!$E$11</f>
        <v>26.150000000000002</v>
      </c>
    </row>
    <row r="44" spans="1:11" ht="26.25" thickBot="1">
      <c r="A44" s="72" t="s">
        <v>66</v>
      </c>
      <c r="B44" s="73" t="s">
        <v>149</v>
      </c>
      <c r="C44" s="74" t="s">
        <v>49</v>
      </c>
      <c r="D44" s="75" t="s">
        <v>35</v>
      </c>
      <c r="E44" s="91">
        <v>25</v>
      </c>
      <c r="F44" s="51">
        <v>8.4</v>
      </c>
      <c r="G44" s="53">
        <f t="shared" si="3"/>
        <v>11.028360000000001</v>
      </c>
      <c r="H44" s="77">
        <f>E44*F44</f>
        <v>210</v>
      </c>
      <c r="I44" s="55">
        <f t="shared" si="2"/>
        <v>275.709</v>
      </c>
      <c r="J44" s="1">
        <f>E44*'[22]Orçamento'!$E$9</f>
        <v>9.25</v>
      </c>
      <c r="K44" s="1">
        <f>E44*'[22]Orçamento'!$E$10</f>
        <v>4.625</v>
      </c>
    </row>
    <row r="45" spans="1:11" ht="26.25" thickBot="1">
      <c r="A45" s="72" t="s">
        <v>67</v>
      </c>
      <c r="B45" s="73" t="s">
        <v>150</v>
      </c>
      <c r="C45" s="74" t="s">
        <v>48</v>
      </c>
      <c r="D45" s="75" t="s">
        <v>35</v>
      </c>
      <c r="E45" s="91">
        <v>25</v>
      </c>
      <c r="F45" s="51">
        <v>22.76</v>
      </c>
      <c r="G45" s="53">
        <f t="shared" si="3"/>
        <v>29.881604000000003</v>
      </c>
      <c r="H45" s="77">
        <f>E45*F45</f>
        <v>569</v>
      </c>
      <c r="I45" s="55">
        <f t="shared" si="2"/>
        <v>747.0400999999999</v>
      </c>
      <c r="J45" s="1">
        <f>E45*'[23]Orçamento'!$E$9</f>
        <v>25.05</v>
      </c>
      <c r="K45" s="1">
        <f>E45*'[23]Orçamento'!$E$10</f>
        <v>12.525</v>
      </c>
    </row>
    <row r="46" spans="1:11" ht="26.25" thickBot="1">
      <c r="A46" s="48" t="s">
        <v>68</v>
      </c>
      <c r="B46" s="49" t="s">
        <v>151</v>
      </c>
      <c r="C46" s="50" t="s">
        <v>34</v>
      </c>
      <c r="D46" s="78" t="s">
        <v>35</v>
      </c>
      <c r="E46" s="51">
        <v>25</v>
      </c>
      <c r="F46" s="51">
        <v>35.11</v>
      </c>
      <c r="G46" s="53">
        <f t="shared" si="3"/>
        <v>46.095919</v>
      </c>
      <c r="H46" s="54">
        <f>E46*F46</f>
        <v>877.75</v>
      </c>
      <c r="I46" s="55">
        <f t="shared" si="2"/>
        <v>1152.397975</v>
      </c>
      <c r="J46" s="1">
        <f>E46*'[24]Orçamento'!$E$9</f>
        <v>38.65</v>
      </c>
      <c r="K46" s="1">
        <f>E46*'[24]Orçamento'!$E$10</f>
        <v>19.325</v>
      </c>
    </row>
    <row r="47" spans="1:9" ht="16.5" thickBot="1">
      <c r="A47" s="41">
        <v>9</v>
      </c>
      <c r="B47" s="42"/>
      <c r="C47" s="43" t="s">
        <v>37</v>
      </c>
      <c r="D47" s="43"/>
      <c r="E47" s="64"/>
      <c r="F47" s="43"/>
      <c r="G47" s="63"/>
      <c r="H47" s="46">
        <f>H48+H49+H50</f>
        <v>156.6</v>
      </c>
      <c r="I47" s="47">
        <f t="shared" si="2"/>
        <v>205.60014</v>
      </c>
    </row>
    <row r="48" spans="1:11" ht="26.25" thickBot="1">
      <c r="A48" s="48" t="s">
        <v>69</v>
      </c>
      <c r="B48" s="49" t="s">
        <v>152</v>
      </c>
      <c r="C48" s="50" t="s">
        <v>39</v>
      </c>
      <c r="D48" s="49" t="s">
        <v>35</v>
      </c>
      <c r="E48" s="51">
        <v>2</v>
      </c>
      <c r="F48" s="51">
        <v>20.06</v>
      </c>
      <c r="G48" s="53">
        <f t="shared" si="3"/>
        <v>26.336774</v>
      </c>
      <c r="H48" s="54">
        <f>E48*F48</f>
        <v>40.12</v>
      </c>
      <c r="I48" s="55">
        <f t="shared" si="2"/>
        <v>52.673548</v>
      </c>
      <c r="J48" s="1">
        <f>E48*'[25]Orçamento'!$E$9</f>
        <v>1.56</v>
      </c>
      <c r="K48" s="1">
        <f>E48*'[25]Orçamento'!$E$10</f>
        <v>0.88</v>
      </c>
    </row>
    <row r="49" spans="1:11" ht="26.25" thickBot="1">
      <c r="A49" s="48" t="s">
        <v>70</v>
      </c>
      <c r="B49" s="49" t="s">
        <v>153</v>
      </c>
      <c r="C49" s="50" t="s">
        <v>38</v>
      </c>
      <c r="D49" s="49" t="s">
        <v>35</v>
      </c>
      <c r="E49" s="51">
        <v>2</v>
      </c>
      <c r="F49" s="51">
        <v>20.06</v>
      </c>
      <c r="G49" s="53">
        <f t="shared" si="3"/>
        <v>26.336774</v>
      </c>
      <c r="H49" s="54">
        <f>E49*F49</f>
        <v>40.12</v>
      </c>
      <c r="I49" s="55">
        <f t="shared" si="2"/>
        <v>52.673548</v>
      </c>
      <c r="J49" s="1">
        <f>E49*'[26]Orçamento'!$E$9</f>
        <v>1.56</v>
      </c>
      <c r="K49" s="1">
        <f>E49*'[26]Orçamento'!$E$10</f>
        <v>0.88</v>
      </c>
    </row>
    <row r="50" spans="1:11" ht="26.25" thickBot="1">
      <c r="A50" s="56" t="s">
        <v>113</v>
      </c>
      <c r="B50" s="57" t="s">
        <v>154</v>
      </c>
      <c r="C50" s="58" t="s">
        <v>95</v>
      </c>
      <c r="D50" s="57" t="s">
        <v>35</v>
      </c>
      <c r="E50" s="60">
        <v>4</v>
      </c>
      <c r="F50" s="71">
        <v>19.09</v>
      </c>
      <c r="G50" s="53">
        <f t="shared" si="3"/>
        <v>25.063261</v>
      </c>
      <c r="H50" s="62">
        <f>E50*F50</f>
        <v>76.36</v>
      </c>
      <c r="I50" s="55">
        <f t="shared" si="2"/>
        <v>100.253044</v>
      </c>
      <c r="J50" s="1">
        <f>E50*'[27]Orçamento'!$E$9</f>
        <v>3.4</v>
      </c>
      <c r="K50" s="1">
        <f>E50*'[27]Orçamento'!$E$10</f>
        <v>1.08</v>
      </c>
    </row>
    <row r="51" spans="1:9" ht="16.5" thickBot="1">
      <c r="A51" s="41">
        <v>10</v>
      </c>
      <c r="B51" s="42"/>
      <c r="C51" s="43" t="s">
        <v>84</v>
      </c>
      <c r="D51" s="43"/>
      <c r="E51" s="64"/>
      <c r="F51" s="43"/>
      <c r="G51" s="63"/>
      <c r="H51" s="46">
        <f>SUM(H52:H58)</f>
        <v>1295.9687999999999</v>
      </c>
      <c r="I51" s="47">
        <f t="shared" si="2"/>
        <v>1701.47743752</v>
      </c>
    </row>
    <row r="52" spans="1:11" ht="26.25" thickBot="1">
      <c r="A52" s="56" t="s">
        <v>114</v>
      </c>
      <c r="B52" s="57" t="s">
        <v>155</v>
      </c>
      <c r="C52" s="58" t="s">
        <v>97</v>
      </c>
      <c r="D52" s="57" t="s">
        <v>7</v>
      </c>
      <c r="E52" s="60">
        <v>14.08</v>
      </c>
      <c r="F52" s="71">
        <v>53.59</v>
      </c>
      <c r="G52" s="53">
        <f t="shared" si="3"/>
        <v>70.358311</v>
      </c>
      <c r="H52" s="62">
        <f aca="true" t="shared" si="4" ref="H52:H57">E52*F52</f>
        <v>754.5472000000001</v>
      </c>
      <c r="I52" s="55">
        <f t="shared" si="2"/>
        <v>990.6450188800002</v>
      </c>
      <c r="J52" s="1">
        <f>E52*'[28]Orçamento'!$E$9+(E52*'[29]Orçamento'!$E$9*'[28]Orçamento'!$E$11)</f>
        <v>36.6758656</v>
      </c>
      <c r="K52" s="1">
        <f>E52*'[28]Orçamento'!$E$10+(E52*'[29]Orçamento'!$E$10*'[28]Orçamento'!$E$11)</f>
        <v>6.432448</v>
      </c>
    </row>
    <row r="53" spans="1:9" ht="26.25" thickBot="1">
      <c r="A53" s="56" t="s">
        <v>115</v>
      </c>
      <c r="B53" s="57" t="s">
        <v>156</v>
      </c>
      <c r="C53" s="58" t="s">
        <v>98</v>
      </c>
      <c r="D53" s="57" t="s">
        <v>102</v>
      </c>
      <c r="E53" s="60">
        <v>11.4</v>
      </c>
      <c r="F53" s="71">
        <v>8.53</v>
      </c>
      <c r="G53" s="53">
        <f t="shared" si="3"/>
        <v>11.199036999999999</v>
      </c>
      <c r="H53" s="62">
        <f t="shared" si="4"/>
        <v>97.24199999999999</v>
      </c>
      <c r="I53" s="55">
        <f t="shared" si="2"/>
        <v>127.6690218</v>
      </c>
    </row>
    <row r="54" spans="1:9" ht="26.25" thickBot="1">
      <c r="A54" s="56" t="s">
        <v>116</v>
      </c>
      <c r="B54" s="57" t="s">
        <v>157</v>
      </c>
      <c r="C54" s="58" t="s">
        <v>99</v>
      </c>
      <c r="D54" s="57" t="s">
        <v>102</v>
      </c>
      <c r="E54" s="60">
        <v>5.9</v>
      </c>
      <c r="F54" s="71">
        <v>6.6</v>
      </c>
      <c r="G54" s="53">
        <f t="shared" si="3"/>
        <v>8.66514</v>
      </c>
      <c r="H54" s="62">
        <f t="shared" si="4"/>
        <v>38.94</v>
      </c>
      <c r="I54" s="55">
        <f t="shared" si="2"/>
        <v>51.124325999999996</v>
      </c>
    </row>
    <row r="55" spans="1:9" ht="26.25" thickBot="1">
      <c r="A55" s="56" t="s">
        <v>117</v>
      </c>
      <c r="B55" s="57" t="s">
        <v>158</v>
      </c>
      <c r="C55" s="58" t="s">
        <v>100</v>
      </c>
      <c r="D55" s="57" t="s">
        <v>102</v>
      </c>
      <c r="E55" s="60">
        <v>17.9</v>
      </c>
      <c r="F55" s="71">
        <v>3.85</v>
      </c>
      <c r="G55" s="53">
        <f t="shared" si="3"/>
        <v>5.054665</v>
      </c>
      <c r="H55" s="62">
        <f t="shared" si="4"/>
        <v>68.91499999999999</v>
      </c>
      <c r="I55" s="55">
        <f t="shared" si="2"/>
        <v>90.47850349999999</v>
      </c>
    </row>
    <row r="56" spans="1:9" ht="26.25" thickBot="1">
      <c r="A56" s="56" t="s">
        <v>118</v>
      </c>
      <c r="B56" s="57" t="s">
        <v>159</v>
      </c>
      <c r="C56" s="58" t="s">
        <v>101</v>
      </c>
      <c r="D56" s="57" t="s">
        <v>102</v>
      </c>
      <c r="E56" s="60">
        <v>23.4</v>
      </c>
      <c r="F56" s="71">
        <v>2.07</v>
      </c>
      <c r="G56" s="53">
        <f t="shared" si="3"/>
        <v>2.7177029999999998</v>
      </c>
      <c r="H56" s="62">
        <f t="shared" si="4"/>
        <v>48.437999999999995</v>
      </c>
      <c r="I56" s="55">
        <f t="shared" si="2"/>
        <v>63.59425019999999</v>
      </c>
    </row>
    <row r="57" spans="1:11" ht="16.5" thickBot="1">
      <c r="A57" s="56" t="s">
        <v>119</v>
      </c>
      <c r="B57" s="57" t="s">
        <v>160</v>
      </c>
      <c r="C57" s="67" t="s">
        <v>104</v>
      </c>
      <c r="D57" s="57" t="s">
        <v>26</v>
      </c>
      <c r="E57" s="60">
        <v>1.18</v>
      </c>
      <c r="F57" s="71">
        <v>151.11</v>
      </c>
      <c r="G57" s="53">
        <f t="shared" si="3"/>
        <v>198.39231900000001</v>
      </c>
      <c r="H57" s="62">
        <f t="shared" si="4"/>
        <v>178.3098</v>
      </c>
      <c r="I57" s="55">
        <f t="shared" si="2"/>
        <v>234.10293642</v>
      </c>
      <c r="J57" s="1">
        <f>SUM(J12:J52)</f>
        <v>1176.40697826</v>
      </c>
      <c r="K57" s="1">
        <f>SUM(K12:K52)</f>
        <v>1769.0993266896003</v>
      </c>
    </row>
    <row r="58" spans="1:11" ht="26.25" thickBot="1">
      <c r="A58" s="56" t="s">
        <v>120</v>
      </c>
      <c r="B58" s="57" t="s">
        <v>161</v>
      </c>
      <c r="C58" s="58" t="s">
        <v>103</v>
      </c>
      <c r="D58" s="57" t="s">
        <v>7</v>
      </c>
      <c r="E58" s="60">
        <v>10.26</v>
      </c>
      <c r="F58" s="71">
        <v>10.68</v>
      </c>
      <c r="G58" s="53">
        <f t="shared" si="3"/>
        <v>14.021772</v>
      </c>
      <c r="H58" s="62">
        <f>E58*F58</f>
        <v>109.57679999999999</v>
      </c>
      <c r="I58" s="55">
        <f t="shared" si="2"/>
        <v>143.86338071999998</v>
      </c>
      <c r="J58" s="1">
        <f>J57/8</f>
        <v>147.0508722825</v>
      </c>
      <c r="K58" s="1">
        <f>K57/8</f>
        <v>221.13741583620003</v>
      </c>
    </row>
    <row r="59" spans="1:9" ht="16.5" thickBot="1">
      <c r="A59" s="41">
        <v>11</v>
      </c>
      <c r="B59" s="42"/>
      <c r="C59" s="43" t="s">
        <v>226</v>
      </c>
      <c r="D59" s="43"/>
      <c r="E59" s="64"/>
      <c r="F59" s="43"/>
      <c r="G59" s="63"/>
      <c r="H59" s="46">
        <f>H60+H61</f>
        <v>6212.162</v>
      </c>
      <c r="I59" s="47">
        <f t="shared" si="2"/>
        <v>8155.947489800001</v>
      </c>
    </row>
    <row r="60" spans="1:9" ht="39" thickBot="1">
      <c r="A60" s="79" t="s">
        <v>121</v>
      </c>
      <c r="B60" s="59" t="s">
        <v>144</v>
      </c>
      <c r="C60" s="69" t="s">
        <v>42</v>
      </c>
      <c r="D60" s="59" t="s">
        <v>7</v>
      </c>
      <c r="E60" s="89">
        <f>N32*3</f>
        <v>311.1</v>
      </c>
      <c r="F60" s="68">
        <v>9.42</v>
      </c>
      <c r="G60" s="90">
        <f t="shared" si="3"/>
        <v>12.367518</v>
      </c>
      <c r="H60" s="83">
        <f>E60*F60</f>
        <v>2930.5620000000004</v>
      </c>
      <c r="I60" s="55">
        <f t="shared" si="2"/>
        <v>3847.5348498000003</v>
      </c>
    </row>
    <row r="61" spans="1:9" ht="51.75" thickBot="1">
      <c r="A61" s="56" t="s">
        <v>122</v>
      </c>
      <c r="B61" s="57" t="s">
        <v>162</v>
      </c>
      <c r="C61" s="58" t="s">
        <v>96</v>
      </c>
      <c r="D61" s="57" t="s">
        <v>20</v>
      </c>
      <c r="E61" s="60">
        <v>20</v>
      </c>
      <c r="F61" s="71">
        <v>164.08</v>
      </c>
      <c r="G61" s="53">
        <f t="shared" si="3"/>
        <v>215.420632</v>
      </c>
      <c r="H61" s="62">
        <f>E61*F61</f>
        <v>3281.6000000000004</v>
      </c>
      <c r="I61" s="55">
        <f t="shared" si="2"/>
        <v>4308.4126400000005</v>
      </c>
    </row>
    <row r="62" spans="1:9" ht="16.5" thickBot="1">
      <c r="A62" s="41">
        <v>12</v>
      </c>
      <c r="B62" s="42"/>
      <c r="C62" s="43" t="s">
        <v>85</v>
      </c>
      <c r="D62" s="43"/>
      <c r="E62" s="64"/>
      <c r="F62" s="43"/>
      <c r="G62" s="63"/>
      <c r="H62" s="46">
        <f>SUM(H63:H70)</f>
        <v>10837.099899999997</v>
      </c>
      <c r="I62" s="47">
        <f t="shared" si="2"/>
        <v>14228.028458709996</v>
      </c>
    </row>
    <row r="63" spans="1:9" ht="39" thickBot="1">
      <c r="A63" s="56" t="s">
        <v>123</v>
      </c>
      <c r="B63" s="49" t="s">
        <v>164</v>
      </c>
      <c r="C63" s="50" t="s">
        <v>15</v>
      </c>
      <c r="D63" s="49" t="s">
        <v>7</v>
      </c>
      <c r="E63" s="51">
        <v>50.58</v>
      </c>
      <c r="F63" s="51">
        <v>25.96</v>
      </c>
      <c r="G63" s="53">
        <f t="shared" si="3"/>
        <v>34.082884</v>
      </c>
      <c r="H63" s="54">
        <f aca="true" t="shared" si="5" ref="H63:H70">E63*F63</f>
        <v>1313.0568</v>
      </c>
      <c r="I63" s="55">
        <f t="shared" si="2"/>
        <v>1723.9122727200001</v>
      </c>
    </row>
    <row r="64" spans="1:9" ht="26.25" thickBot="1">
      <c r="A64" s="56" t="s">
        <v>124</v>
      </c>
      <c r="B64" s="49" t="s">
        <v>165</v>
      </c>
      <c r="C64" s="50" t="s">
        <v>86</v>
      </c>
      <c r="D64" s="49" t="s">
        <v>26</v>
      </c>
      <c r="E64" s="51">
        <v>14.85</v>
      </c>
      <c r="F64" s="51">
        <v>96.56</v>
      </c>
      <c r="G64" s="53">
        <f t="shared" si="3"/>
        <v>126.77362400000001</v>
      </c>
      <c r="H64" s="54">
        <f t="shared" si="5"/>
        <v>1433.916</v>
      </c>
      <c r="I64" s="55">
        <f t="shared" si="2"/>
        <v>1882.5883164</v>
      </c>
    </row>
    <row r="65" spans="1:9" ht="39" thickBot="1">
      <c r="A65" s="56" t="s">
        <v>125</v>
      </c>
      <c r="B65" s="49" t="s">
        <v>166</v>
      </c>
      <c r="C65" s="50" t="s">
        <v>87</v>
      </c>
      <c r="D65" s="49" t="s">
        <v>7</v>
      </c>
      <c r="E65" s="51">
        <v>105.06</v>
      </c>
      <c r="F65" s="51">
        <v>45.76</v>
      </c>
      <c r="G65" s="53">
        <f t="shared" si="3"/>
        <v>60.078303999999996</v>
      </c>
      <c r="H65" s="54">
        <f t="shared" si="5"/>
        <v>4807.5455999999995</v>
      </c>
      <c r="I65" s="55">
        <f t="shared" si="2"/>
        <v>6311.826618239999</v>
      </c>
    </row>
    <row r="66" spans="1:9" ht="26.25" thickBot="1">
      <c r="A66" s="56" t="s">
        <v>126</v>
      </c>
      <c r="B66" s="57" t="s">
        <v>167</v>
      </c>
      <c r="C66" s="50" t="s">
        <v>88</v>
      </c>
      <c r="D66" s="57" t="s">
        <v>102</v>
      </c>
      <c r="E66" s="71">
        <v>141.89</v>
      </c>
      <c r="F66" s="51">
        <v>4.04</v>
      </c>
      <c r="G66" s="53">
        <f t="shared" si="3"/>
        <v>5.3041160000000005</v>
      </c>
      <c r="H66" s="62">
        <f>F66*E66</f>
        <v>573.2356</v>
      </c>
      <c r="I66" s="55">
        <f t="shared" si="2"/>
        <v>752.6010192399999</v>
      </c>
    </row>
    <row r="67" spans="1:9" ht="26.25" thickBot="1">
      <c r="A67" s="56" t="s">
        <v>127</v>
      </c>
      <c r="B67" s="49" t="s">
        <v>168</v>
      </c>
      <c r="C67" s="50" t="s">
        <v>89</v>
      </c>
      <c r="D67" s="49" t="s">
        <v>102</v>
      </c>
      <c r="E67" s="51">
        <v>691.4</v>
      </c>
      <c r="F67" s="51">
        <v>1.32</v>
      </c>
      <c r="G67" s="53">
        <f t="shared" si="3"/>
        <v>1.733028</v>
      </c>
      <c r="H67" s="54">
        <f>E67*F67</f>
        <v>912.648</v>
      </c>
      <c r="I67" s="55">
        <f t="shared" si="2"/>
        <v>1198.2155592</v>
      </c>
    </row>
    <row r="68" spans="1:9" ht="26.25" thickBot="1">
      <c r="A68" s="56" t="s">
        <v>128</v>
      </c>
      <c r="B68" s="59" t="s">
        <v>169</v>
      </c>
      <c r="C68" s="67" t="s">
        <v>163</v>
      </c>
      <c r="D68" s="59" t="s">
        <v>26</v>
      </c>
      <c r="E68" s="68">
        <v>3.78</v>
      </c>
      <c r="F68" s="51">
        <v>151.11</v>
      </c>
      <c r="G68" s="53">
        <f t="shared" si="3"/>
        <v>198.39231900000001</v>
      </c>
      <c r="H68" s="62">
        <f t="shared" si="5"/>
        <v>571.1958000000001</v>
      </c>
      <c r="I68" s="55">
        <f t="shared" si="2"/>
        <v>749.9229658200002</v>
      </c>
    </row>
    <row r="69" spans="1:9" ht="26.25" thickBot="1">
      <c r="A69" s="56" t="s">
        <v>129</v>
      </c>
      <c r="B69" s="59" t="s">
        <v>170</v>
      </c>
      <c r="C69" s="67" t="s">
        <v>90</v>
      </c>
      <c r="D69" s="59" t="s">
        <v>26</v>
      </c>
      <c r="E69" s="68">
        <v>4.03</v>
      </c>
      <c r="F69" s="51">
        <v>151.11</v>
      </c>
      <c r="G69" s="53">
        <f t="shared" si="3"/>
        <v>198.39231900000001</v>
      </c>
      <c r="H69" s="62">
        <f t="shared" si="5"/>
        <v>608.9733000000001</v>
      </c>
      <c r="I69" s="55">
        <f t="shared" si="2"/>
        <v>799.5210455700002</v>
      </c>
    </row>
    <row r="70" spans="1:9" ht="26.25" thickBot="1">
      <c r="A70" s="79" t="s">
        <v>130</v>
      </c>
      <c r="B70" s="80" t="s">
        <v>171</v>
      </c>
      <c r="C70" s="81" t="s">
        <v>91</v>
      </c>
      <c r="D70" s="59" t="s">
        <v>26</v>
      </c>
      <c r="E70" s="82">
        <v>4.08</v>
      </c>
      <c r="F70" s="68">
        <v>151.11</v>
      </c>
      <c r="G70" s="53">
        <f t="shared" si="3"/>
        <v>198.39231900000001</v>
      </c>
      <c r="H70" s="83">
        <f t="shared" si="5"/>
        <v>616.5288</v>
      </c>
      <c r="I70" s="55">
        <f t="shared" si="2"/>
        <v>809.44066152</v>
      </c>
    </row>
    <row r="71" spans="1:9" ht="16.5" thickBot="1">
      <c r="A71" s="84"/>
      <c r="B71" s="85"/>
      <c r="C71" s="84"/>
      <c r="D71" s="84"/>
      <c r="E71" s="84"/>
      <c r="F71" s="85"/>
      <c r="G71" s="85"/>
      <c r="H71" s="85"/>
      <c r="I71" s="85"/>
    </row>
    <row r="72" spans="1:10" s="9" customFormat="1" ht="16.5" thickBot="1">
      <c r="A72" s="201" t="s">
        <v>228</v>
      </c>
      <c r="B72" s="202"/>
      <c r="C72" s="202"/>
      <c r="D72" s="202"/>
      <c r="E72" s="202"/>
      <c r="F72" s="202"/>
      <c r="G72" s="211"/>
      <c r="H72" s="211"/>
      <c r="I72" s="86">
        <f>H62+H59+H51+H47+H42+H33+H29+H24+H21+H19+H11+H37</f>
        <v>53308.972747</v>
      </c>
      <c r="J72" s="40"/>
    </row>
    <row r="73" spans="1:9" s="9" customFormat="1" ht="16.5" thickBot="1">
      <c r="A73" s="212"/>
      <c r="B73" s="212"/>
      <c r="C73" s="212"/>
      <c r="D73" s="212"/>
      <c r="E73" s="212"/>
      <c r="F73" s="212"/>
      <c r="G73" s="212"/>
      <c r="H73" s="87"/>
      <c r="I73" s="88"/>
    </row>
    <row r="74" spans="1:10" s="9" customFormat="1" ht="16.5" thickBot="1">
      <c r="A74" s="201" t="s">
        <v>229</v>
      </c>
      <c r="B74" s="202"/>
      <c r="C74" s="202"/>
      <c r="D74" s="202"/>
      <c r="E74" s="202"/>
      <c r="F74" s="202"/>
      <c r="G74" s="211"/>
      <c r="H74" s="211"/>
      <c r="I74" s="86">
        <f>I72*$I$5+I72</f>
        <v>69989.3503195363</v>
      </c>
      <c r="J74" s="40"/>
    </row>
    <row r="75" spans="1:9" s="9" customFormat="1" ht="16.5" thickBot="1">
      <c r="A75" s="142"/>
      <c r="B75" s="142"/>
      <c r="C75" s="142"/>
      <c r="D75" s="142"/>
      <c r="E75" s="142"/>
      <c r="F75" s="142"/>
      <c r="G75" s="142"/>
      <c r="H75" s="34"/>
      <c r="I75" s="33"/>
    </row>
    <row r="76" spans="1:9" s="9" customFormat="1" ht="16.5" thickBot="1">
      <c r="A76" s="139" t="s">
        <v>224</v>
      </c>
      <c r="B76" s="140"/>
      <c r="C76" s="140"/>
      <c r="D76" s="140"/>
      <c r="E76" s="140"/>
      <c r="F76" s="140"/>
      <c r="G76" s="140"/>
      <c r="H76" s="140"/>
      <c r="I76" s="35"/>
    </row>
    <row r="77" spans="1:9" s="9" customFormat="1" ht="16.5" thickBot="1">
      <c r="A77" s="139"/>
      <c r="B77" s="140"/>
      <c r="C77" s="140"/>
      <c r="D77" s="140"/>
      <c r="E77" s="140"/>
      <c r="F77" s="140"/>
      <c r="G77" s="140"/>
      <c r="H77" s="140"/>
      <c r="I77" s="36"/>
    </row>
    <row r="78" spans="1:9" s="9" customFormat="1" ht="15.75">
      <c r="A78" s="147"/>
      <c r="B78" s="148"/>
      <c r="C78" s="148"/>
      <c r="D78" s="148"/>
      <c r="E78" s="148"/>
      <c r="F78" s="148"/>
      <c r="G78" s="148"/>
      <c r="H78" s="148"/>
      <c r="I78" s="37"/>
    </row>
    <row r="79" spans="1:9" s="9" customFormat="1" ht="15.75">
      <c r="A79" s="141"/>
      <c r="B79" s="142"/>
      <c r="C79" s="142"/>
      <c r="D79" s="142"/>
      <c r="E79" s="142"/>
      <c r="F79" s="142"/>
      <c r="G79" s="142"/>
      <c r="H79" s="142"/>
      <c r="I79" s="38"/>
    </row>
    <row r="80" spans="1:9" ht="15.75">
      <c r="A80" s="149" t="s">
        <v>9</v>
      </c>
      <c r="B80" s="150"/>
      <c r="C80" s="150"/>
      <c r="D80" s="150"/>
      <c r="E80" s="150"/>
      <c r="F80" s="150"/>
      <c r="G80" s="150"/>
      <c r="H80" s="150"/>
      <c r="I80" s="39"/>
    </row>
    <row r="81" spans="1:9" ht="15.75">
      <c r="A81" s="210" t="s">
        <v>172</v>
      </c>
      <c r="B81" s="143"/>
      <c r="C81" s="143"/>
      <c r="D81" s="143"/>
      <c r="E81" s="204"/>
      <c r="F81" s="204"/>
      <c r="G81" s="204"/>
      <c r="H81" s="204"/>
      <c r="I81" s="39"/>
    </row>
    <row r="82" spans="1:9" ht="15.75">
      <c r="A82" s="141" t="s">
        <v>173</v>
      </c>
      <c r="B82" s="142"/>
      <c r="C82" s="142"/>
      <c r="D82" s="142"/>
      <c r="E82" s="143"/>
      <c r="F82" s="143"/>
      <c r="G82" s="143"/>
      <c r="H82" s="143"/>
      <c r="I82" s="39"/>
    </row>
    <row r="83" spans="1:9" ht="16.5" thickBot="1">
      <c r="A83" s="144" t="s">
        <v>174</v>
      </c>
      <c r="B83" s="145"/>
      <c r="C83" s="145"/>
      <c r="D83" s="145"/>
      <c r="E83" s="146"/>
      <c r="F83" s="146"/>
      <c r="G83" s="146"/>
      <c r="H83" s="146"/>
      <c r="I83" s="32"/>
    </row>
    <row r="84" spans="1:9" ht="15.75">
      <c r="A84" s="19"/>
      <c r="B84" s="20"/>
      <c r="C84" s="19"/>
      <c r="D84" s="19"/>
      <c r="E84" s="19"/>
      <c r="F84" s="20"/>
      <c r="G84" s="20"/>
      <c r="H84" s="20"/>
      <c r="I84" s="20"/>
    </row>
    <row r="85" spans="1:9" ht="15.75">
      <c r="A85" s="19"/>
      <c r="B85" s="20"/>
      <c r="C85" s="19"/>
      <c r="D85" s="19"/>
      <c r="E85" s="19"/>
      <c r="F85" s="20"/>
      <c r="G85" s="20"/>
      <c r="H85" s="20"/>
      <c r="I85" s="20"/>
    </row>
    <row r="86" spans="1:9" ht="15.75">
      <c r="A86" s="19"/>
      <c r="B86" s="20"/>
      <c r="C86" s="19"/>
      <c r="D86" s="19"/>
      <c r="E86" s="19"/>
      <c r="F86" s="20"/>
      <c r="G86" s="20"/>
      <c r="H86" s="20"/>
      <c r="I86" s="20"/>
    </row>
    <row r="87" spans="1:9" ht="15.75">
      <c r="A87" s="19"/>
      <c r="B87" s="20"/>
      <c r="C87" s="19"/>
      <c r="D87" s="19"/>
      <c r="E87" s="19"/>
      <c r="F87" s="20"/>
      <c r="G87" s="20"/>
      <c r="H87" s="20"/>
      <c r="I87" s="20"/>
    </row>
    <row r="88" spans="1:9" ht="15.75">
      <c r="A88" s="19"/>
      <c r="B88" s="20"/>
      <c r="C88" s="19"/>
      <c r="D88" s="19"/>
      <c r="E88" s="19"/>
      <c r="F88" s="20"/>
      <c r="G88" s="20"/>
      <c r="H88" s="20"/>
      <c r="I88" s="20"/>
    </row>
    <row r="89" spans="1:9" ht="15.75">
      <c r="A89" s="19"/>
      <c r="B89" s="20"/>
      <c r="C89" s="19"/>
      <c r="D89" s="19"/>
      <c r="E89" s="19"/>
      <c r="F89" s="20"/>
      <c r="G89" s="20"/>
      <c r="H89" s="20"/>
      <c r="I89" s="20"/>
    </row>
    <row r="90" spans="1:9" ht="15.75">
      <c r="A90" s="19"/>
      <c r="B90" s="20"/>
      <c r="C90" s="19"/>
      <c r="D90" s="19"/>
      <c r="E90" s="19"/>
      <c r="F90" s="20"/>
      <c r="G90" s="20"/>
      <c r="H90" s="20"/>
      <c r="I90" s="20"/>
    </row>
    <row r="91" spans="1:9" ht="15.75">
      <c r="A91" s="19"/>
      <c r="B91" s="20"/>
      <c r="C91" s="19"/>
      <c r="D91" s="19"/>
      <c r="E91" s="19"/>
      <c r="F91" s="20"/>
      <c r="G91" s="20"/>
      <c r="H91" s="20"/>
      <c r="I91" s="20"/>
    </row>
    <row r="92" spans="1:9" ht="15.75">
      <c r="A92" s="19"/>
      <c r="B92" s="20"/>
      <c r="C92" s="19"/>
      <c r="D92" s="19"/>
      <c r="E92" s="19"/>
      <c r="F92" s="20"/>
      <c r="G92" s="20"/>
      <c r="H92" s="20"/>
      <c r="I92" s="20"/>
    </row>
    <row r="93" spans="1:9" ht="15.75">
      <c r="A93" s="19"/>
      <c r="B93" s="20"/>
      <c r="C93" s="19"/>
      <c r="D93" s="19"/>
      <c r="E93" s="19"/>
      <c r="F93" s="20"/>
      <c r="G93" s="20"/>
      <c r="H93" s="20"/>
      <c r="I93" s="20"/>
    </row>
    <row r="94" spans="1:9" ht="15.75">
      <c r="A94" s="19"/>
      <c r="B94" s="20"/>
      <c r="C94" s="19"/>
      <c r="D94" s="19"/>
      <c r="E94" s="19"/>
      <c r="F94" s="20"/>
      <c r="G94" s="20"/>
      <c r="H94" s="20"/>
      <c r="I94" s="20"/>
    </row>
    <row r="95" spans="1:9" ht="15.75">
      <c r="A95" s="19"/>
      <c r="B95" s="20"/>
      <c r="C95" s="19"/>
      <c r="D95" s="19"/>
      <c r="E95" s="19"/>
      <c r="F95" s="20"/>
      <c r="G95" s="20"/>
      <c r="H95" s="20"/>
      <c r="I95" s="20"/>
    </row>
    <row r="96" spans="1:9" ht="15.75">
      <c r="A96" s="19"/>
      <c r="B96" s="20"/>
      <c r="C96" s="19"/>
      <c r="D96" s="19"/>
      <c r="E96" s="19"/>
      <c r="F96" s="20"/>
      <c r="G96" s="20"/>
      <c r="H96" s="20"/>
      <c r="I96" s="20"/>
    </row>
    <row r="97" spans="1:9" ht="15.75">
      <c r="A97" s="19"/>
      <c r="B97" s="20"/>
      <c r="C97" s="19"/>
      <c r="D97" s="19"/>
      <c r="E97" s="19"/>
      <c r="F97" s="20"/>
      <c r="G97" s="20"/>
      <c r="H97" s="20"/>
      <c r="I97" s="20"/>
    </row>
    <row r="98" spans="1:9" ht="15.75">
      <c r="A98" s="19"/>
      <c r="B98" s="20"/>
      <c r="C98" s="19"/>
      <c r="D98" s="19"/>
      <c r="E98" s="19"/>
      <c r="F98" s="20"/>
      <c r="G98" s="20"/>
      <c r="H98" s="20"/>
      <c r="I98" s="20"/>
    </row>
    <row r="99" spans="1:9" ht="15.75">
      <c r="A99" s="19"/>
      <c r="B99" s="20"/>
      <c r="C99" s="19"/>
      <c r="D99" s="19"/>
      <c r="E99" s="19"/>
      <c r="F99" s="20"/>
      <c r="G99" s="20"/>
      <c r="H99" s="20"/>
      <c r="I99" s="20"/>
    </row>
    <row r="100" spans="1:9" ht="15.75">
      <c r="A100" s="19"/>
      <c r="B100" s="20"/>
      <c r="C100" s="19"/>
      <c r="D100" s="19"/>
      <c r="E100" s="19"/>
      <c r="F100" s="20"/>
      <c r="G100" s="20"/>
      <c r="H100" s="20"/>
      <c r="I100" s="20"/>
    </row>
    <row r="101" spans="1:9" ht="15.75">
      <c r="A101" s="19"/>
      <c r="B101" s="20"/>
      <c r="C101" s="19"/>
      <c r="D101" s="19"/>
      <c r="E101" s="19"/>
      <c r="F101" s="20"/>
      <c r="G101" s="20"/>
      <c r="H101" s="20"/>
      <c r="I101" s="20"/>
    </row>
    <row r="102" spans="1:9" ht="15.75">
      <c r="A102" s="19"/>
      <c r="B102" s="20"/>
      <c r="C102" s="19"/>
      <c r="D102" s="19"/>
      <c r="E102" s="19"/>
      <c r="F102" s="20"/>
      <c r="G102" s="20"/>
      <c r="H102" s="20"/>
      <c r="I102" s="20"/>
    </row>
    <row r="103" spans="1:9" ht="15.75">
      <c r="A103" s="19"/>
      <c r="B103" s="20"/>
      <c r="C103" s="19"/>
      <c r="D103" s="19"/>
      <c r="E103" s="19"/>
      <c r="F103" s="20"/>
      <c r="G103" s="20"/>
      <c r="H103" s="20"/>
      <c r="I103" s="20"/>
    </row>
    <row r="104" spans="1:9" ht="15.75">
      <c r="A104" s="19"/>
      <c r="B104" s="20"/>
      <c r="C104" s="19"/>
      <c r="D104" s="19"/>
      <c r="E104" s="19"/>
      <c r="F104" s="20"/>
      <c r="G104" s="20"/>
      <c r="H104" s="20"/>
      <c r="I104" s="20"/>
    </row>
    <row r="105" spans="1:9" ht="15.75">
      <c r="A105" s="19"/>
      <c r="B105" s="20"/>
      <c r="C105" s="19"/>
      <c r="D105" s="19"/>
      <c r="E105" s="19"/>
      <c r="F105" s="20"/>
      <c r="G105" s="20"/>
      <c r="H105" s="20"/>
      <c r="I105" s="20"/>
    </row>
    <row r="106" spans="1:9" ht="15.75">
      <c r="A106" s="19"/>
      <c r="B106" s="20"/>
      <c r="C106" s="19"/>
      <c r="D106" s="19"/>
      <c r="E106" s="19"/>
      <c r="F106" s="20"/>
      <c r="G106" s="20"/>
      <c r="H106" s="20"/>
      <c r="I106" s="20"/>
    </row>
    <row r="107" spans="1:9" ht="15.75">
      <c r="A107" s="19"/>
      <c r="B107" s="20"/>
      <c r="C107" s="19"/>
      <c r="D107" s="19"/>
      <c r="E107" s="19"/>
      <c r="F107" s="20"/>
      <c r="G107" s="20"/>
      <c r="H107" s="20"/>
      <c r="I107" s="20"/>
    </row>
    <row r="108" spans="1:9" ht="15.75">
      <c r="A108" s="19"/>
      <c r="B108" s="20"/>
      <c r="C108" s="19"/>
      <c r="D108" s="19"/>
      <c r="E108" s="19"/>
      <c r="F108" s="20"/>
      <c r="G108" s="20"/>
      <c r="H108" s="20"/>
      <c r="I108" s="20"/>
    </row>
    <row r="109" spans="1:9" ht="15.75">
      <c r="A109" s="19"/>
      <c r="B109" s="20"/>
      <c r="C109" s="19"/>
      <c r="D109" s="19"/>
      <c r="E109" s="19"/>
      <c r="F109" s="20"/>
      <c r="G109" s="20"/>
      <c r="H109" s="20"/>
      <c r="I109" s="20"/>
    </row>
    <row r="110" spans="1:9" ht="15.75">
      <c r="A110" s="19"/>
      <c r="B110" s="20"/>
      <c r="C110" s="19"/>
      <c r="D110" s="19"/>
      <c r="E110" s="19"/>
      <c r="F110" s="20"/>
      <c r="G110" s="20"/>
      <c r="H110" s="20"/>
      <c r="I110" s="20"/>
    </row>
    <row r="111" spans="1:9" ht="15.75">
      <c r="A111" s="19"/>
      <c r="B111" s="20"/>
      <c r="C111" s="19"/>
      <c r="D111" s="19"/>
      <c r="E111" s="19"/>
      <c r="F111" s="20"/>
      <c r="G111" s="20"/>
      <c r="H111" s="20"/>
      <c r="I111" s="20"/>
    </row>
    <row r="112" spans="1:9" ht="15.75">
      <c r="A112" s="19"/>
      <c r="B112" s="20"/>
      <c r="C112" s="19"/>
      <c r="D112" s="19"/>
      <c r="E112" s="19"/>
      <c r="F112" s="20"/>
      <c r="G112" s="20"/>
      <c r="H112" s="20"/>
      <c r="I112" s="20"/>
    </row>
    <row r="113" spans="1:9" ht="15.75">
      <c r="A113" s="19"/>
      <c r="B113" s="20"/>
      <c r="C113" s="19"/>
      <c r="D113" s="19"/>
      <c r="E113" s="19"/>
      <c r="F113" s="20"/>
      <c r="G113" s="20"/>
      <c r="H113" s="20"/>
      <c r="I113" s="20"/>
    </row>
    <row r="114" spans="1:9" ht="15.75">
      <c r="A114" s="19"/>
      <c r="B114" s="20"/>
      <c r="C114" s="19"/>
      <c r="D114" s="19"/>
      <c r="E114" s="19"/>
      <c r="F114" s="20"/>
      <c r="G114" s="20"/>
      <c r="H114" s="20"/>
      <c r="I114" s="20"/>
    </row>
    <row r="115" spans="1:9" ht="15.75">
      <c r="A115" s="19"/>
      <c r="B115" s="20"/>
      <c r="C115" s="19"/>
      <c r="D115" s="19"/>
      <c r="E115" s="19"/>
      <c r="F115" s="20"/>
      <c r="G115" s="20"/>
      <c r="H115" s="20"/>
      <c r="I115" s="20"/>
    </row>
    <row r="116" spans="1:9" ht="15.75">
      <c r="A116" s="19"/>
      <c r="B116" s="20"/>
      <c r="C116" s="19"/>
      <c r="D116" s="19"/>
      <c r="E116" s="19"/>
      <c r="F116" s="20"/>
      <c r="G116" s="20"/>
      <c r="H116" s="20"/>
      <c r="I116" s="20"/>
    </row>
    <row r="117" spans="1:9" ht="15.75">
      <c r="A117" s="19"/>
      <c r="B117" s="20"/>
      <c r="C117" s="19"/>
      <c r="D117" s="19"/>
      <c r="E117" s="19"/>
      <c r="F117" s="20"/>
      <c r="G117" s="20"/>
      <c r="H117" s="20"/>
      <c r="I117" s="20"/>
    </row>
    <row r="118" spans="1:9" ht="15.75">
      <c r="A118" s="19"/>
      <c r="B118" s="20"/>
      <c r="C118" s="19"/>
      <c r="D118" s="19"/>
      <c r="E118" s="19"/>
      <c r="F118" s="20"/>
      <c r="G118" s="20"/>
      <c r="H118" s="20"/>
      <c r="I118" s="20"/>
    </row>
    <row r="119" spans="1:9" ht="15.75">
      <c r="A119" s="19"/>
      <c r="B119" s="20"/>
      <c r="C119" s="19"/>
      <c r="D119" s="19"/>
      <c r="E119" s="19"/>
      <c r="F119" s="20"/>
      <c r="G119" s="20"/>
      <c r="H119" s="20"/>
      <c r="I119" s="20"/>
    </row>
    <row r="120" spans="1:9" ht="15.75">
      <c r="A120" s="19"/>
      <c r="B120" s="20"/>
      <c r="C120" s="19"/>
      <c r="D120" s="19"/>
      <c r="E120" s="19"/>
      <c r="F120" s="20"/>
      <c r="G120" s="20"/>
      <c r="H120" s="20"/>
      <c r="I120" s="20"/>
    </row>
    <row r="121" spans="1:9" ht="15.75">
      <c r="A121" s="19"/>
      <c r="B121" s="20"/>
      <c r="C121" s="19"/>
      <c r="D121" s="19"/>
      <c r="E121" s="19"/>
      <c r="F121" s="20"/>
      <c r="G121" s="20"/>
      <c r="H121" s="20"/>
      <c r="I121" s="20"/>
    </row>
    <row r="122" spans="1:9" ht="15.75">
      <c r="A122" s="19"/>
      <c r="B122" s="20"/>
      <c r="C122" s="19"/>
      <c r="D122" s="19"/>
      <c r="E122" s="19"/>
      <c r="F122" s="20"/>
      <c r="G122" s="20"/>
      <c r="H122" s="20"/>
      <c r="I122" s="20"/>
    </row>
    <row r="123" spans="1:9" ht="15.75">
      <c r="A123" s="19"/>
      <c r="B123" s="20"/>
      <c r="C123" s="19"/>
      <c r="D123" s="19"/>
      <c r="E123" s="19"/>
      <c r="F123" s="20"/>
      <c r="G123" s="20"/>
      <c r="H123" s="20"/>
      <c r="I123" s="20"/>
    </row>
    <row r="124" spans="1:9" ht="15.75">
      <c r="A124" s="19"/>
      <c r="B124" s="20"/>
      <c r="C124" s="19"/>
      <c r="D124" s="19"/>
      <c r="E124" s="19"/>
      <c r="F124" s="20"/>
      <c r="G124" s="20"/>
      <c r="H124" s="20"/>
      <c r="I124" s="20"/>
    </row>
    <row r="125" spans="1:9" ht="15.75">
      <c r="A125" s="19"/>
      <c r="B125" s="20"/>
      <c r="C125" s="19"/>
      <c r="D125" s="19"/>
      <c r="E125" s="19"/>
      <c r="F125" s="20"/>
      <c r="G125" s="20"/>
      <c r="H125" s="20"/>
      <c r="I125" s="20"/>
    </row>
    <row r="126" spans="1:9" ht="15.75">
      <c r="A126" s="19"/>
      <c r="B126" s="20"/>
      <c r="C126" s="19"/>
      <c r="D126" s="19"/>
      <c r="E126" s="19"/>
      <c r="F126" s="20"/>
      <c r="G126" s="20"/>
      <c r="H126" s="20"/>
      <c r="I126" s="20"/>
    </row>
    <row r="127" spans="1:9" ht="15.75">
      <c r="A127" s="19"/>
      <c r="B127" s="20"/>
      <c r="C127" s="19"/>
      <c r="D127" s="19"/>
      <c r="E127" s="19"/>
      <c r="F127" s="20"/>
      <c r="G127" s="20"/>
      <c r="H127" s="20"/>
      <c r="I127" s="20"/>
    </row>
    <row r="128" spans="1:9" ht="15.75">
      <c r="A128" s="19"/>
      <c r="B128" s="20"/>
      <c r="C128" s="19"/>
      <c r="D128" s="19"/>
      <c r="E128" s="19"/>
      <c r="F128" s="20"/>
      <c r="G128" s="20"/>
      <c r="H128" s="20"/>
      <c r="I128" s="20"/>
    </row>
    <row r="129" spans="1:9" ht="15.75">
      <c r="A129" s="19"/>
      <c r="B129" s="20"/>
      <c r="C129" s="19"/>
      <c r="D129" s="19"/>
      <c r="E129" s="19"/>
      <c r="F129" s="20"/>
      <c r="G129" s="20"/>
      <c r="H129" s="20"/>
      <c r="I129" s="20"/>
    </row>
    <row r="130" spans="1:9" ht="15.75">
      <c r="A130" s="19"/>
      <c r="B130" s="20"/>
      <c r="C130" s="19"/>
      <c r="D130" s="19"/>
      <c r="E130" s="19"/>
      <c r="F130" s="20"/>
      <c r="G130" s="20"/>
      <c r="H130" s="20"/>
      <c r="I130" s="20"/>
    </row>
    <row r="131" spans="1:9" ht="15.75">
      <c r="A131" s="19"/>
      <c r="B131" s="20"/>
      <c r="C131" s="19"/>
      <c r="D131" s="19"/>
      <c r="E131" s="19"/>
      <c r="F131" s="20"/>
      <c r="G131" s="20"/>
      <c r="H131" s="20"/>
      <c r="I131" s="20"/>
    </row>
    <row r="132" spans="1:9" ht="15.75">
      <c r="A132" s="19"/>
      <c r="B132" s="20"/>
      <c r="C132" s="19"/>
      <c r="D132" s="19"/>
      <c r="E132" s="19"/>
      <c r="F132" s="20"/>
      <c r="G132" s="20"/>
      <c r="H132" s="20"/>
      <c r="I132" s="20"/>
    </row>
    <row r="133" spans="1:9" ht="15.75">
      <c r="A133" s="19"/>
      <c r="B133" s="20"/>
      <c r="C133" s="19"/>
      <c r="D133" s="19"/>
      <c r="E133" s="19"/>
      <c r="F133" s="20"/>
      <c r="G133" s="20"/>
      <c r="H133" s="20"/>
      <c r="I133" s="20"/>
    </row>
    <row r="134" spans="1:9" ht="15.75">
      <c r="A134" s="19"/>
      <c r="B134" s="20"/>
      <c r="C134" s="19"/>
      <c r="D134" s="19"/>
      <c r="E134" s="19"/>
      <c r="F134" s="20"/>
      <c r="G134" s="20"/>
      <c r="H134" s="20"/>
      <c r="I134" s="20"/>
    </row>
    <row r="135" spans="1:9" ht="15.75">
      <c r="A135" s="19"/>
      <c r="B135" s="20"/>
      <c r="C135" s="19"/>
      <c r="D135" s="19"/>
      <c r="E135" s="19"/>
      <c r="F135" s="20"/>
      <c r="G135" s="20"/>
      <c r="H135" s="20"/>
      <c r="I135" s="20"/>
    </row>
    <row r="136" spans="1:9" ht="15.75">
      <c r="A136" s="19"/>
      <c r="B136" s="20"/>
      <c r="C136" s="19"/>
      <c r="D136" s="19"/>
      <c r="E136" s="19"/>
      <c r="F136" s="20"/>
      <c r="G136" s="20"/>
      <c r="H136" s="20"/>
      <c r="I136" s="20"/>
    </row>
    <row r="137" spans="1:9" ht="15.75">
      <c r="A137" s="19"/>
      <c r="B137" s="20"/>
      <c r="C137" s="19"/>
      <c r="D137" s="19"/>
      <c r="E137" s="19"/>
      <c r="F137" s="20"/>
      <c r="G137" s="20"/>
      <c r="H137" s="20"/>
      <c r="I137" s="20"/>
    </row>
    <row r="138" spans="1:9" ht="15.75">
      <c r="A138" s="19"/>
      <c r="B138" s="20"/>
      <c r="C138" s="19"/>
      <c r="D138" s="19"/>
      <c r="E138" s="19"/>
      <c r="F138" s="20"/>
      <c r="G138" s="20"/>
      <c r="H138" s="20"/>
      <c r="I138" s="20"/>
    </row>
    <row r="139" spans="1:9" ht="15.75">
      <c r="A139" s="19"/>
      <c r="B139" s="20"/>
      <c r="C139" s="19"/>
      <c r="D139" s="19"/>
      <c r="E139" s="19"/>
      <c r="F139" s="20"/>
      <c r="G139" s="20"/>
      <c r="H139" s="20"/>
      <c r="I139" s="20"/>
    </row>
    <row r="140" spans="1:9" ht="15.75">
      <c r="A140" s="19"/>
      <c r="B140" s="20"/>
      <c r="C140" s="19"/>
      <c r="D140" s="19"/>
      <c r="E140" s="19"/>
      <c r="F140" s="20"/>
      <c r="G140" s="20"/>
      <c r="H140" s="20"/>
      <c r="I140" s="20"/>
    </row>
    <row r="141" spans="1:9" ht="15.75">
      <c r="A141" s="19"/>
      <c r="B141" s="20"/>
      <c r="C141" s="19"/>
      <c r="D141" s="19"/>
      <c r="E141" s="19"/>
      <c r="F141" s="20"/>
      <c r="G141" s="20"/>
      <c r="H141" s="20"/>
      <c r="I141" s="20"/>
    </row>
    <row r="142" spans="1:9" ht="15.75">
      <c r="A142" s="19"/>
      <c r="B142" s="20"/>
      <c r="C142" s="19"/>
      <c r="D142" s="19"/>
      <c r="E142" s="19"/>
      <c r="F142" s="20"/>
      <c r="G142" s="20"/>
      <c r="H142" s="20"/>
      <c r="I142" s="20"/>
    </row>
    <row r="143" spans="1:9" ht="15.75">
      <c r="A143" s="19"/>
      <c r="B143" s="20"/>
      <c r="C143" s="19"/>
      <c r="D143" s="19"/>
      <c r="E143" s="19"/>
      <c r="F143" s="20"/>
      <c r="G143" s="20"/>
      <c r="H143" s="20"/>
      <c r="I143" s="20"/>
    </row>
    <row r="144" spans="1:9" ht="15.75">
      <c r="A144" s="19"/>
      <c r="B144" s="20"/>
      <c r="C144" s="19"/>
      <c r="D144" s="19"/>
      <c r="E144" s="19"/>
      <c r="F144" s="20"/>
      <c r="G144" s="20"/>
      <c r="H144" s="20"/>
      <c r="I144" s="20"/>
    </row>
    <row r="145" spans="1:9" ht="15.75">
      <c r="A145" s="19"/>
      <c r="B145" s="20"/>
      <c r="C145" s="19"/>
      <c r="D145" s="19"/>
      <c r="E145" s="19"/>
      <c r="F145" s="20"/>
      <c r="G145" s="20"/>
      <c r="H145" s="20"/>
      <c r="I145" s="20"/>
    </row>
    <row r="146" spans="1:9" ht="15.75">
      <c r="A146" s="19"/>
      <c r="B146" s="20"/>
      <c r="C146" s="19"/>
      <c r="D146" s="19"/>
      <c r="E146" s="19"/>
      <c r="F146" s="20"/>
      <c r="G146" s="20"/>
      <c r="H146" s="20"/>
      <c r="I146" s="20"/>
    </row>
    <row r="147" spans="1:9" ht="15.75">
      <c r="A147" s="19"/>
      <c r="B147" s="20"/>
      <c r="C147" s="19"/>
      <c r="D147" s="19"/>
      <c r="E147" s="19"/>
      <c r="F147" s="20"/>
      <c r="G147" s="20"/>
      <c r="H147" s="20"/>
      <c r="I147" s="20"/>
    </row>
    <row r="148" spans="1:9" ht="15.75">
      <c r="A148" s="19"/>
      <c r="B148" s="20"/>
      <c r="C148" s="19"/>
      <c r="D148" s="19"/>
      <c r="E148" s="19"/>
      <c r="F148" s="20"/>
      <c r="G148" s="20"/>
      <c r="H148" s="20"/>
      <c r="I148" s="20"/>
    </row>
    <row r="149" spans="1:9" ht="15.75">
      <c r="A149" s="19"/>
      <c r="B149" s="20"/>
      <c r="C149" s="19"/>
      <c r="D149" s="19"/>
      <c r="E149" s="19"/>
      <c r="F149" s="20"/>
      <c r="G149" s="20"/>
      <c r="H149" s="20"/>
      <c r="I149" s="20"/>
    </row>
    <row r="150" spans="1:9" ht="15.75">
      <c r="A150" s="19"/>
      <c r="B150" s="20"/>
      <c r="C150" s="19"/>
      <c r="D150" s="19"/>
      <c r="E150" s="19"/>
      <c r="F150" s="20"/>
      <c r="G150" s="20"/>
      <c r="H150" s="20"/>
      <c r="I150" s="20"/>
    </row>
    <row r="151" spans="1:9" ht="15.75">
      <c r="A151" s="19"/>
      <c r="B151" s="20"/>
      <c r="C151" s="19"/>
      <c r="D151" s="19"/>
      <c r="E151" s="19"/>
      <c r="F151" s="20"/>
      <c r="G151" s="20"/>
      <c r="H151" s="20"/>
      <c r="I151" s="20"/>
    </row>
    <row r="152" spans="1:9" ht="15.75">
      <c r="A152" s="19"/>
      <c r="B152" s="20"/>
      <c r="C152" s="19"/>
      <c r="D152" s="19"/>
      <c r="E152" s="19"/>
      <c r="F152" s="20"/>
      <c r="G152" s="20"/>
      <c r="H152" s="20"/>
      <c r="I152" s="20"/>
    </row>
    <row r="153" spans="1:9" ht="15.75">
      <c r="A153" s="19"/>
      <c r="B153" s="20"/>
      <c r="C153" s="19"/>
      <c r="D153" s="19"/>
      <c r="E153" s="19"/>
      <c r="F153" s="20"/>
      <c r="G153" s="20"/>
      <c r="H153" s="20"/>
      <c r="I153" s="20"/>
    </row>
    <row r="154" spans="1:9" ht="15.75">
      <c r="A154" s="19"/>
      <c r="B154" s="20"/>
      <c r="C154" s="19"/>
      <c r="D154" s="19"/>
      <c r="E154" s="19"/>
      <c r="F154" s="20"/>
      <c r="G154" s="20"/>
      <c r="H154" s="20"/>
      <c r="I154" s="20"/>
    </row>
    <row r="155" spans="1:9" ht="15.75">
      <c r="A155" s="19"/>
      <c r="B155" s="20"/>
      <c r="C155" s="19"/>
      <c r="D155" s="19"/>
      <c r="E155" s="19"/>
      <c r="F155" s="20"/>
      <c r="G155" s="20"/>
      <c r="H155" s="20"/>
      <c r="I155" s="20"/>
    </row>
    <row r="156" spans="1:9" ht="15.75">
      <c r="A156" s="19"/>
      <c r="B156" s="20"/>
      <c r="C156" s="19"/>
      <c r="D156" s="19"/>
      <c r="E156" s="19"/>
      <c r="F156" s="20"/>
      <c r="G156" s="20"/>
      <c r="H156" s="20"/>
      <c r="I156" s="20"/>
    </row>
    <row r="157" spans="1:9" ht="15.75">
      <c r="A157" s="19"/>
      <c r="B157" s="20"/>
      <c r="C157" s="19"/>
      <c r="D157" s="19"/>
      <c r="E157" s="19"/>
      <c r="F157" s="20"/>
      <c r="G157" s="20"/>
      <c r="H157" s="20"/>
      <c r="I157" s="20"/>
    </row>
    <row r="158" spans="1:9" ht="15.75">
      <c r="A158" s="19"/>
      <c r="B158" s="20"/>
      <c r="C158" s="19"/>
      <c r="D158" s="19"/>
      <c r="E158" s="19"/>
      <c r="F158" s="20"/>
      <c r="G158" s="20"/>
      <c r="H158" s="20"/>
      <c r="I158" s="20"/>
    </row>
    <row r="159" spans="1:9" ht="15.75">
      <c r="A159" s="19"/>
      <c r="B159" s="20"/>
      <c r="C159" s="19"/>
      <c r="D159" s="19"/>
      <c r="E159" s="19"/>
      <c r="F159" s="20"/>
      <c r="G159" s="20"/>
      <c r="H159" s="20"/>
      <c r="I159" s="20"/>
    </row>
    <row r="160" spans="1:9" ht="15.75">
      <c r="A160" s="19"/>
      <c r="B160" s="20"/>
      <c r="C160" s="19"/>
      <c r="D160" s="19"/>
      <c r="E160" s="19"/>
      <c r="F160" s="20"/>
      <c r="G160" s="20"/>
      <c r="H160" s="20"/>
      <c r="I160" s="20"/>
    </row>
    <row r="161" spans="1:9" ht="15.75">
      <c r="A161" s="19"/>
      <c r="B161" s="20"/>
      <c r="C161" s="19"/>
      <c r="D161" s="19"/>
      <c r="E161" s="19"/>
      <c r="F161" s="20"/>
      <c r="G161" s="20"/>
      <c r="H161" s="20"/>
      <c r="I161" s="20"/>
    </row>
    <row r="162" spans="1:9" ht="15.75">
      <c r="A162" s="19"/>
      <c r="B162" s="20"/>
      <c r="C162" s="19"/>
      <c r="D162" s="19"/>
      <c r="E162" s="19"/>
      <c r="F162" s="20"/>
      <c r="G162" s="20"/>
      <c r="H162" s="20"/>
      <c r="I162" s="20"/>
    </row>
    <row r="163" spans="1:9" ht="15.75">
      <c r="A163" s="19"/>
      <c r="B163" s="20"/>
      <c r="C163" s="19"/>
      <c r="D163" s="19"/>
      <c r="E163" s="19"/>
      <c r="F163" s="20"/>
      <c r="G163" s="20"/>
      <c r="H163" s="20"/>
      <c r="I163" s="20"/>
    </row>
    <row r="164" spans="1:9" ht="15.75">
      <c r="A164" s="19"/>
      <c r="B164" s="20"/>
      <c r="C164" s="19"/>
      <c r="D164" s="19"/>
      <c r="E164" s="19"/>
      <c r="F164" s="20"/>
      <c r="G164" s="20"/>
      <c r="H164" s="20"/>
      <c r="I164" s="20"/>
    </row>
    <row r="165" spans="1:9" ht="15.75">
      <c r="A165" s="19"/>
      <c r="B165" s="20"/>
      <c r="C165" s="19"/>
      <c r="D165" s="19"/>
      <c r="E165" s="19"/>
      <c r="F165" s="20"/>
      <c r="G165" s="20"/>
      <c r="H165" s="20"/>
      <c r="I165" s="20"/>
    </row>
    <row r="166" spans="1:9" ht="15.75">
      <c r="A166" s="19"/>
      <c r="B166" s="20"/>
      <c r="C166" s="19"/>
      <c r="D166" s="19"/>
      <c r="E166" s="19"/>
      <c r="F166" s="20"/>
      <c r="G166" s="20"/>
      <c r="H166" s="20"/>
      <c r="I166" s="20"/>
    </row>
    <row r="167" spans="1:9" ht="15.75">
      <c r="A167" s="19"/>
      <c r="B167" s="20"/>
      <c r="C167" s="19"/>
      <c r="D167" s="19"/>
      <c r="E167" s="19"/>
      <c r="F167" s="20"/>
      <c r="G167" s="20"/>
      <c r="H167" s="20"/>
      <c r="I167" s="20"/>
    </row>
    <row r="168" spans="1:9" ht="15.75">
      <c r="A168" s="19"/>
      <c r="B168" s="20"/>
      <c r="C168" s="19"/>
      <c r="D168" s="19"/>
      <c r="E168" s="19"/>
      <c r="F168" s="20"/>
      <c r="G168" s="20"/>
      <c r="H168" s="20"/>
      <c r="I168" s="20"/>
    </row>
    <row r="169" spans="1:9" ht="15.75">
      <c r="A169" s="19"/>
      <c r="B169" s="20"/>
      <c r="C169" s="19"/>
      <c r="D169" s="19"/>
      <c r="E169" s="19"/>
      <c r="F169" s="20"/>
      <c r="G169" s="20"/>
      <c r="H169" s="20"/>
      <c r="I169" s="20"/>
    </row>
    <row r="170" spans="1:9" ht="15.75">
      <c r="A170" s="19"/>
      <c r="B170" s="20"/>
      <c r="C170" s="19"/>
      <c r="D170" s="19"/>
      <c r="E170" s="19"/>
      <c r="F170" s="20"/>
      <c r="G170" s="20"/>
      <c r="H170" s="20"/>
      <c r="I170" s="20"/>
    </row>
    <row r="171" spans="1:9" ht="15.75">
      <c r="A171" s="19"/>
      <c r="B171" s="20"/>
      <c r="C171" s="19"/>
      <c r="D171" s="19"/>
      <c r="E171" s="19"/>
      <c r="F171" s="20"/>
      <c r="G171" s="20"/>
      <c r="H171" s="20"/>
      <c r="I171" s="20"/>
    </row>
    <row r="172" spans="1:9" ht="15.75">
      <c r="A172" s="19"/>
      <c r="B172" s="20"/>
      <c r="C172" s="19"/>
      <c r="D172" s="19"/>
      <c r="E172" s="19"/>
      <c r="F172" s="20"/>
      <c r="G172" s="20"/>
      <c r="H172" s="20"/>
      <c r="I172" s="20"/>
    </row>
    <row r="173" spans="1:9" ht="15.75">
      <c r="A173" s="19"/>
      <c r="B173" s="20"/>
      <c r="C173" s="19"/>
      <c r="D173" s="19"/>
      <c r="E173" s="19"/>
      <c r="F173" s="20"/>
      <c r="G173" s="20"/>
      <c r="H173" s="20"/>
      <c r="I173" s="20"/>
    </row>
    <row r="174" spans="1:9" ht="15.75">
      <c r="A174" s="19"/>
      <c r="B174" s="20"/>
      <c r="C174" s="19"/>
      <c r="D174" s="19"/>
      <c r="E174" s="19"/>
      <c r="F174" s="20"/>
      <c r="G174" s="20"/>
      <c r="H174" s="20"/>
      <c r="I174" s="20"/>
    </row>
    <row r="175" spans="1:9" ht="15.75">
      <c r="A175" s="19"/>
      <c r="B175" s="20"/>
      <c r="C175" s="19"/>
      <c r="D175" s="19"/>
      <c r="E175" s="19"/>
      <c r="F175" s="20"/>
      <c r="G175" s="20"/>
      <c r="H175" s="20"/>
      <c r="I175" s="20"/>
    </row>
    <row r="176" spans="1:9" ht="15.75">
      <c r="A176" s="19"/>
      <c r="B176" s="20"/>
      <c r="C176" s="19"/>
      <c r="D176" s="19"/>
      <c r="E176" s="19"/>
      <c r="F176" s="20"/>
      <c r="G176" s="20"/>
      <c r="H176" s="20"/>
      <c r="I176" s="20"/>
    </row>
    <row r="177" spans="1:9" ht="15.75">
      <c r="A177" s="19"/>
      <c r="B177" s="20"/>
      <c r="C177" s="19"/>
      <c r="D177" s="19"/>
      <c r="E177" s="19"/>
      <c r="F177" s="20"/>
      <c r="G177" s="20"/>
      <c r="H177" s="20"/>
      <c r="I177" s="20"/>
    </row>
    <row r="178" spans="1:9" ht="15.75">
      <c r="A178" s="19"/>
      <c r="B178" s="20"/>
      <c r="C178" s="19"/>
      <c r="D178" s="19"/>
      <c r="E178" s="19"/>
      <c r="F178" s="20"/>
      <c r="G178" s="20"/>
      <c r="H178" s="20"/>
      <c r="I178" s="20"/>
    </row>
    <row r="179" spans="1:9" ht="15.75">
      <c r="A179" s="19"/>
      <c r="B179" s="20"/>
      <c r="C179" s="19"/>
      <c r="D179" s="19"/>
      <c r="E179" s="19"/>
      <c r="F179" s="20"/>
      <c r="G179" s="20"/>
      <c r="H179" s="20"/>
      <c r="I179" s="20"/>
    </row>
    <row r="180" spans="1:9" ht="15.75">
      <c r="A180" s="19"/>
      <c r="B180" s="20"/>
      <c r="C180" s="19"/>
      <c r="D180" s="19"/>
      <c r="E180" s="19"/>
      <c r="F180" s="20"/>
      <c r="G180" s="20"/>
      <c r="H180" s="20"/>
      <c r="I180" s="20"/>
    </row>
    <row r="181" spans="1:9" ht="15.75">
      <c r="A181" s="19"/>
      <c r="B181" s="20"/>
      <c r="C181" s="19"/>
      <c r="D181" s="19"/>
      <c r="E181" s="19"/>
      <c r="F181" s="20"/>
      <c r="G181" s="20"/>
      <c r="H181" s="20"/>
      <c r="I181" s="20"/>
    </row>
    <row r="182" spans="1:9" ht="15.75">
      <c r="A182" s="19"/>
      <c r="B182" s="20"/>
      <c r="C182" s="19"/>
      <c r="D182" s="19"/>
      <c r="E182" s="19"/>
      <c r="F182" s="20"/>
      <c r="G182" s="20"/>
      <c r="H182" s="20"/>
      <c r="I182" s="20"/>
    </row>
    <row r="183" spans="1:9" ht="15.75">
      <c r="A183" s="19"/>
      <c r="B183" s="20"/>
      <c r="C183" s="19"/>
      <c r="D183" s="19"/>
      <c r="E183" s="19"/>
      <c r="F183" s="20"/>
      <c r="G183" s="20"/>
      <c r="H183" s="20"/>
      <c r="I183" s="20"/>
    </row>
    <row r="184" spans="1:9" ht="15.75">
      <c r="A184" s="19"/>
      <c r="B184" s="20"/>
      <c r="C184" s="19"/>
      <c r="D184" s="19"/>
      <c r="E184" s="19"/>
      <c r="F184" s="20"/>
      <c r="G184" s="20"/>
      <c r="H184" s="20"/>
      <c r="I184" s="20"/>
    </row>
    <row r="185" spans="1:9" ht="15.75">
      <c r="A185" s="19"/>
      <c r="B185" s="20"/>
      <c r="C185" s="19"/>
      <c r="D185" s="19"/>
      <c r="E185" s="19"/>
      <c r="F185" s="20"/>
      <c r="G185" s="20"/>
      <c r="H185" s="20"/>
      <c r="I185" s="20"/>
    </row>
    <row r="186" spans="1:9" ht="15.75">
      <c r="A186" s="19"/>
      <c r="B186" s="20"/>
      <c r="C186" s="19"/>
      <c r="D186" s="19"/>
      <c r="E186" s="19"/>
      <c r="F186" s="20"/>
      <c r="G186" s="20"/>
      <c r="H186" s="20"/>
      <c r="I186" s="20"/>
    </row>
    <row r="187" spans="1:9" ht="15.75">
      <c r="A187" s="19"/>
      <c r="B187" s="20"/>
      <c r="C187" s="19"/>
      <c r="D187" s="19"/>
      <c r="E187" s="19"/>
      <c r="F187" s="20"/>
      <c r="G187" s="20"/>
      <c r="H187" s="20"/>
      <c r="I187" s="20"/>
    </row>
    <row r="188" spans="1:9" ht="15.75">
      <c r="A188" s="19"/>
      <c r="B188" s="20"/>
      <c r="C188" s="19"/>
      <c r="D188" s="19"/>
      <c r="E188" s="19"/>
      <c r="F188" s="20"/>
      <c r="G188" s="20"/>
      <c r="H188" s="20"/>
      <c r="I188" s="20"/>
    </row>
    <row r="189" spans="1:9" ht="15.75">
      <c r="A189" s="19"/>
      <c r="B189" s="20"/>
      <c r="C189" s="19"/>
      <c r="D189" s="19"/>
      <c r="E189" s="19"/>
      <c r="F189" s="20"/>
      <c r="G189" s="20"/>
      <c r="H189" s="20"/>
      <c r="I189" s="20"/>
    </row>
    <row r="190" spans="1:9" ht="15.75">
      <c r="A190" s="19"/>
      <c r="B190" s="20"/>
      <c r="C190" s="19"/>
      <c r="D190" s="19"/>
      <c r="E190" s="19"/>
      <c r="F190" s="20"/>
      <c r="G190" s="20"/>
      <c r="H190" s="20"/>
      <c r="I190" s="20"/>
    </row>
    <row r="191" spans="1:9" ht="15.75">
      <c r="A191" s="19"/>
      <c r="B191" s="20"/>
      <c r="C191" s="19"/>
      <c r="D191" s="19"/>
      <c r="E191" s="19"/>
      <c r="F191" s="20"/>
      <c r="G191" s="20"/>
      <c r="H191" s="20"/>
      <c r="I191" s="20"/>
    </row>
    <row r="192" spans="1:9" ht="15.75">
      <c r="A192" s="19"/>
      <c r="B192" s="20"/>
      <c r="C192" s="19"/>
      <c r="D192" s="19"/>
      <c r="E192" s="19"/>
      <c r="F192" s="20"/>
      <c r="G192" s="20"/>
      <c r="H192" s="20"/>
      <c r="I192" s="20"/>
    </row>
    <row r="193" spans="1:9" ht="15.75">
      <c r="A193" s="19"/>
      <c r="B193" s="20"/>
      <c r="C193" s="19"/>
      <c r="D193" s="19"/>
      <c r="E193" s="19"/>
      <c r="F193" s="20"/>
      <c r="G193" s="20"/>
      <c r="H193" s="20"/>
      <c r="I193" s="20"/>
    </row>
    <row r="194" spans="1:9" ht="15.75">
      <c r="A194" s="19"/>
      <c r="B194" s="20"/>
      <c r="C194" s="19"/>
      <c r="D194" s="19"/>
      <c r="E194" s="19"/>
      <c r="F194" s="20"/>
      <c r="G194" s="20"/>
      <c r="H194" s="20"/>
      <c r="I194" s="20"/>
    </row>
    <row r="195" spans="1:9" ht="15.75">
      <c r="A195" s="19"/>
      <c r="B195" s="20"/>
      <c r="C195" s="19"/>
      <c r="D195" s="19"/>
      <c r="E195" s="19"/>
      <c r="F195" s="20"/>
      <c r="G195" s="20"/>
      <c r="H195" s="20"/>
      <c r="I195" s="20"/>
    </row>
    <row r="196" spans="1:9" ht="15.75">
      <c r="A196" s="19"/>
      <c r="B196" s="20"/>
      <c r="C196" s="19"/>
      <c r="D196" s="19"/>
      <c r="E196" s="19"/>
      <c r="F196" s="20"/>
      <c r="G196" s="20"/>
      <c r="H196" s="20"/>
      <c r="I196" s="20"/>
    </row>
    <row r="197" spans="1:9" ht="15.75">
      <c r="A197" s="19"/>
      <c r="B197" s="20"/>
      <c r="C197" s="19"/>
      <c r="D197" s="19"/>
      <c r="E197" s="19"/>
      <c r="F197" s="20"/>
      <c r="G197" s="20"/>
      <c r="H197" s="20"/>
      <c r="I197" s="20"/>
    </row>
    <row r="198" spans="1:9" ht="15.75">
      <c r="A198" s="19"/>
      <c r="B198" s="20"/>
      <c r="C198" s="19"/>
      <c r="D198" s="19"/>
      <c r="E198" s="19"/>
      <c r="F198" s="20"/>
      <c r="G198" s="20"/>
      <c r="H198" s="20"/>
      <c r="I198" s="20"/>
    </row>
    <row r="199" spans="1:9" ht="15.75">
      <c r="A199" s="19"/>
      <c r="B199" s="20"/>
      <c r="C199" s="19"/>
      <c r="D199" s="19"/>
      <c r="E199" s="19"/>
      <c r="F199" s="20"/>
      <c r="G199" s="20"/>
      <c r="H199" s="20"/>
      <c r="I199" s="20"/>
    </row>
    <row r="200" spans="1:9" ht="15.75">
      <c r="A200" s="19"/>
      <c r="B200" s="20"/>
      <c r="C200" s="19"/>
      <c r="D200" s="19"/>
      <c r="E200" s="19"/>
      <c r="F200" s="20"/>
      <c r="G200" s="20"/>
      <c r="H200" s="20"/>
      <c r="I200" s="20"/>
    </row>
    <row r="201" spans="1:9" ht="15.75">
      <c r="A201" s="19"/>
      <c r="B201" s="20"/>
      <c r="C201" s="19"/>
      <c r="D201" s="19"/>
      <c r="E201" s="19"/>
      <c r="F201" s="20"/>
      <c r="G201" s="20"/>
      <c r="H201" s="20"/>
      <c r="I201" s="20"/>
    </row>
    <row r="202" spans="1:9" ht="15.75">
      <c r="A202" s="19"/>
      <c r="B202" s="20"/>
      <c r="C202" s="19"/>
      <c r="D202" s="19"/>
      <c r="E202" s="19"/>
      <c r="F202" s="20"/>
      <c r="G202" s="20"/>
      <c r="H202" s="20"/>
      <c r="I202" s="20"/>
    </row>
    <row r="203" spans="1:9" ht="15.75">
      <c r="A203" s="19"/>
      <c r="B203" s="20"/>
      <c r="C203" s="19"/>
      <c r="D203" s="19"/>
      <c r="E203" s="19"/>
      <c r="F203" s="20"/>
      <c r="G203" s="20"/>
      <c r="H203" s="20"/>
      <c r="I203" s="20"/>
    </row>
    <row r="204" spans="1:9" ht="15.75">
      <c r="A204" s="19"/>
      <c r="B204" s="20"/>
      <c r="C204" s="19"/>
      <c r="D204" s="19"/>
      <c r="E204" s="19"/>
      <c r="F204" s="20"/>
      <c r="G204" s="20"/>
      <c r="H204" s="20"/>
      <c r="I204" s="20"/>
    </row>
    <row r="205" spans="1:9" ht="15.75">
      <c r="A205" s="19"/>
      <c r="B205" s="20"/>
      <c r="C205" s="19"/>
      <c r="D205" s="19"/>
      <c r="E205" s="19"/>
      <c r="F205" s="20"/>
      <c r="G205" s="20"/>
      <c r="H205" s="20"/>
      <c r="I205" s="20"/>
    </row>
    <row r="206" spans="1:9" ht="15.75">
      <c r="A206" s="19"/>
      <c r="B206" s="20"/>
      <c r="C206" s="19"/>
      <c r="D206" s="19"/>
      <c r="E206" s="19"/>
      <c r="F206" s="20"/>
      <c r="G206" s="20"/>
      <c r="H206" s="20"/>
      <c r="I206" s="20"/>
    </row>
    <row r="207" spans="1:9" ht="15.75">
      <c r="A207" s="19"/>
      <c r="B207" s="20"/>
      <c r="C207" s="19"/>
      <c r="D207" s="19"/>
      <c r="E207" s="19"/>
      <c r="F207" s="20"/>
      <c r="G207" s="20"/>
      <c r="H207" s="20"/>
      <c r="I207" s="20"/>
    </row>
    <row r="208" spans="1:9" ht="15.75">
      <c r="A208" s="19"/>
      <c r="B208" s="20"/>
      <c r="C208" s="19"/>
      <c r="D208" s="19"/>
      <c r="E208" s="19"/>
      <c r="F208" s="20"/>
      <c r="G208" s="20"/>
      <c r="H208" s="20"/>
      <c r="I208" s="20"/>
    </row>
    <row r="209" spans="1:9" ht="15.75">
      <c r="A209" s="19"/>
      <c r="B209" s="20"/>
      <c r="C209" s="19"/>
      <c r="D209" s="19"/>
      <c r="E209" s="19"/>
      <c r="F209" s="20"/>
      <c r="G209" s="20"/>
      <c r="H209" s="20"/>
      <c r="I209" s="20"/>
    </row>
    <row r="210" spans="1:9" ht="15.75">
      <c r="A210" s="19"/>
      <c r="B210" s="20"/>
      <c r="C210" s="19"/>
      <c r="D210" s="19"/>
      <c r="E210" s="19"/>
      <c r="F210" s="20"/>
      <c r="G210" s="20"/>
      <c r="H210" s="20"/>
      <c r="I210" s="20"/>
    </row>
    <row r="211" spans="1:9" ht="15.75">
      <c r="A211" s="19"/>
      <c r="B211" s="20"/>
      <c r="C211" s="19"/>
      <c r="D211" s="19"/>
      <c r="E211" s="19"/>
      <c r="F211" s="20"/>
      <c r="G211" s="20"/>
      <c r="H211" s="20"/>
      <c r="I211" s="20"/>
    </row>
    <row r="212" spans="1:9" ht="15.75">
      <c r="A212" s="19"/>
      <c r="B212" s="20"/>
      <c r="C212" s="19"/>
      <c r="D212" s="19"/>
      <c r="E212" s="19"/>
      <c r="F212" s="20"/>
      <c r="G212" s="20"/>
      <c r="H212" s="20"/>
      <c r="I212" s="20"/>
    </row>
    <row r="213" spans="1:9" ht="15.75">
      <c r="A213" s="19"/>
      <c r="B213" s="20"/>
      <c r="C213" s="19"/>
      <c r="D213" s="19"/>
      <c r="E213" s="19"/>
      <c r="F213" s="20"/>
      <c r="G213" s="20"/>
      <c r="H213" s="20"/>
      <c r="I213" s="20"/>
    </row>
    <row r="214" spans="1:9" ht="15.75">
      <c r="A214" s="19"/>
      <c r="B214" s="20"/>
      <c r="C214" s="19"/>
      <c r="D214" s="19"/>
      <c r="E214" s="19"/>
      <c r="F214" s="20"/>
      <c r="G214" s="20"/>
      <c r="H214" s="20"/>
      <c r="I214" s="20"/>
    </row>
    <row r="215" spans="1:9" ht="15.75">
      <c r="A215" s="19"/>
      <c r="B215" s="20"/>
      <c r="C215" s="19"/>
      <c r="D215" s="19"/>
      <c r="E215" s="19"/>
      <c r="F215" s="20"/>
      <c r="G215" s="20"/>
      <c r="H215" s="20"/>
      <c r="I215" s="20"/>
    </row>
    <row r="216" spans="1:9" ht="15.75">
      <c r="A216" s="19"/>
      <c r="B216" s="20"/>
      <c r="C216" s="19"/>
      <c r="D216" s="19"/>
      <c r="E216" s="19"/>
      <c r="F216" s="20"/>
      <c r="G216" s="20"/>
      <c r="H216" s="20"/>
      <c r="I216" s="20"/>
    </row>
    <row r="217" spans="1:9" ht="15.75">
      <c r="A217" s="19"/>
      <c r="B217" s="20"/>
      <c r="C217" s="19"/>
      <c r="D217" s="19"/>
      <c r="E217" s="19"/>
      <c r="F217" s="20"/>
      <c r="G217" s="20"/>
      <c r="H217" s="20"/>
      <c r="I217" s="20"/>
    </row>
    <row r="218" spans="1:9" ht="15.75">
      <c r="A218" s="19"/>
      <c r="B218" s="20"/>
      <c r="C218" s="19"/>
      <c r="D218" s="19"/>
      <c r="E218" s="19"/>
      <c r="F218" s="20"/>
      <c r="G218" s="20"/>
      <c r="H218" s="20"/>
      <c r="I218" s="20"/>
    </row>
    <row r="219" spans="1:9" ht="15.75">
      <c r="A219" s="19"/>
      <c r="B219" s="20"/>
      <c r="C219" s="19"/>
      <c r="D219" s="19"/>
      <c r="E219" s="19"/>
      <c r="F219" s="20"/>
      <c r="G219" s="20"/>
      <c r="H219" s="20"/>
      <c r="I219" s="20"/>
    </row>
    <row r="220" spans="1:9" ht="15.75">
      <c r="A220" s="19"/>
      <c r="B220" s="20"/>
      <c r="C220" s="19"/>
      <c r="D220" s="19"/>
      <c r="E220" s="19"/>
      <c r="F220" s="20"/>
      <c r="G220" s="20"/>
      <c r="H220" s="20"/>
      <c r="I220" s="20"/>
    </row>
    <row r="221" spans="1:9" ht="15.75">
      <c r="A221" s="19"/>
      <c r="B221" s="20"/>
      <c r="C221" s="19"/>
      <c r="D221" s="19"/>
      <c r="E221" s="19"/>
      <c r="F221" s="20"/>
      <c r="G221" s="20"/>
      <c r="H221" s="20"/>
      <c r="I221" s="20"/>
    </row>
    <row r="222" spans="1:9" ht="15.75">
      <c r="A222" s="19"/>
      <c r="B222" s="20"/>
      <c r="C222" s="19"/>
      <c r="D222" s="19"/>
      <c r="E222" s="19"/>
      <c r="F222" s="20"/>
      <c r="G222" s="20"/>
      <c r="H222" s="20"/>
      <c r="I222" s="20"/>
    </row>
    <row r="223" spans="1:9" ht="15.75">
      <c r="A223" s="19"/>
      <c r="B223" s="20"/>
      <c r="C223" s="19"/>
      <c r="D223" s="19"/>
      <c r="E223" s="19"/>
      <c r="F223" s="20"/>
      <c r="G223" s="20"/>
      <c r="H223" s="20"/>
      <c r="I223" s="20"/>
    </row>
    <row r="224" spans="1:9" ht="15.75">
      <c r="A224" s="19"/>
      <c r="B224" s="20"/>
      <c r="C224" s="19"/>
      <c r="D224" s="19"/>
      <c r="E224" s="19"/>
      <c r="F224" s="20"/>
      <c r="G224" s="20"/>
      <c r="H224" s="20"/>
      <c r="I224" s="20"/>
    </row>
    <row r="225" spans="1:9" ht="15.75">
      <c r="A225" s="19"/>
      <c r="B225" s="20"/>
      <c r="C225" s="19"/>
      <c r="D225" s="19"/>
      <c r="E225" s="19"/>
      <c r="F225" s="20"/>
      <c r="G225" s="20"/>
      <c r="H225" s="20"/>
      <c r="I225" s="20"/>
    </row>
    <row r="226" spans="1:9" ht="15.75">
      <c r="A226" s="19"/>
      <c r="B226" s="20"/>
      <c r="C226" s="19"/>
      <c r="D226" s="19"/>
      <c r="E226" s="19"/>
      <c r="F226" s="20"/>
      <c r="G226" s="20"/>
      <c r="H226" s="20"/>
      <c r="I226" s="20"/>
    </row>
    <row r="227" spans="1:9" ht="15.75">
      <c r="A227" s="19"/>
      <c r="B227" s="20"/>
      <c r="C227" s="19"/>
      <c r="D227" s="19"/>
      <c r="E227" s="19"/>
      <c r="F227" s="20"/>
      <c r="G227" s="20"/>
      <c r="H227" s="20"/>
      <c r="I227" s="20"/>
    </row>
    <row r="228" spans="1:9" ht="15.75">
      <c r="A228" s="19"/>
      <c r="B228" s="20"/>
      <c r="C228" s="19"/>
      <c r="D228" s="19"/>
      <c r="E228" s="19"/>
      <c r="F228" s="20"/>
      <c r="G228" s="20"/>
      <c r="H228" s="20"/>
      <c r="I228" s="20"/>
    </row>
    <row r="229" spans="1:9" ht="15.75">
      <c r="A229" s="19"/>
      <c r="B229" s="20"/>
      <c r="C229" s="19"/>
      <c r="D229" s="19"/>
      <c r="E229" s="19"/>
      <c r="F229" s="20"/>
      <c r="G229" s="20"/>
      <c r="H229" s="20"/>
      <c r="I229" s="20"/>
    </row>
    <row r="230" spans="1:9" ht="15.75">
      <c r="A230" s="19"/>
      <c r="B230" s="20"/>
      <c r="C230" s="19"/>
      <c r="D230" s="19"/>
      <c r="E230" s="19"/>
      <c r="F230" s="20"/>
      <c r="G230" s="20"/>
      <c r="H230" s="20"/>
      <c r="I230" s="20"/>
    </row>
    <row r="231" spans="1:9" ht="15.75">
      <c r="A231" s="19"/>
      <c r="B231" s="20"/>
      <c r="C231" s="19"/>
      <c r="D231" s="19"/>
      <c r="E231" s="19"/>
      <c r="F231" s="20"/>
      <c r="G231" s="20"/>
      <c r="H231" s="20"/>
      <c r="I231" s="20"/>
    </row>
    <row r="232" spans="1:9" ht="15.75">
      <c r="A232" s="19"/>
      <c r="B232" s="20"/>
      <c r="C232" s="19"/>
      <c r="D232" s="19"/>
      <c r="E232" s="19"/>
      <c r="F232" s="20"/>
      <c r="G232" s="20"/>
      <c r="H232" s="20"/>
      <c r="I232" s="20"/>
    </row>
    <row r="233" spans="1:9" ht="15.75">
      <c r="A233" s="19"/>
      <c r="B233" s="20"/>
      <c r="C233" s="19"/>
      <c r="D233" s="19"/>
      <c r="E233" s="19"/>
      <c r="F233" s="20"/>
      <c r="G233" s="20"/>
      <c r="H233" s="20"/>
      <c r="I233" s="20"/>
    </row>
    <row r="234" spans="1:9" ht="15.75">
      <c r="A234" s="19"/>
      <c r="B234" s="20"/>
      <c r="C234" s="19"/>
      <c r="D234" s="19"/>
      <c r="E234" s="19"/>
      <c r="F234" s="20"/>
      <c r="G234" s="20"/>
      <c r="H234" s="20"/>
      <c r="I234" s="20"/>
    </row>
    <row r="235" spans="1:9" ht="15.75">
      <c r="A235" s="19"/>
      <c r="B235" s="20"/>
      <c r="C235" s="19"/>
      <c r="D235" s="19"/>
      <c r="E235" s="19"/>
      <c r="F235" s="20"/>
      <c r="G235" s="20"/>
      <c r="H235" s="20"/>
      <c r="I235" s="20"/>
    </row>
    <row r="236" spans="1:9" ht="15.75">
      <c r="A236" s="19"/>
      <c r="B236" s="20"/>
      <c r="C236" s="19"/>
      <c r="D236" s="19"/>
      <c r="E236" s="19"/>
      <c r="F236" s="20"/>
      <c r="G236" s="20"/>
      <c r="H236" s="20"/>
      <c r="I236" s="20"/>
    </row>
    <row r="237" spans="1:9" ht="15.75">
      <c r="A237" s="19"/>
      <c r="B237" s="20"/>
      <c r="C237" s="19"/>
      <c r="D237" s="19"/>
      <c r="E237" s="19"/>
      <c r="F237" s="20"/>
      <c r="G237" s="20"/>
      <c r="H237" s="20"/>
      <c r="I237" s="20"/>
    </row>
    <row r="238" spans="1:9" ht="15.75">
      <c r="A238" s="19"/>
      <c r="B238" s="20"/>
      <c r="C238" s="19"/>
      <c r="D238" s="19"/>
      <c r="E238" s="19"/>
      <c r="F238" s="20"/>
      <c r="G238" s="20"/>
      <c r="H238" s="20"/>
      <c r="I238" s="20"/>
    </row>
    <row r="239" spans="1:9" ht="15.75">
      <c r="A239" s="19"/>
      <c r="B239" s="20"/>
      <c r="C239" s="19"/>
      <c r="D239" s="19"/>
      <c r="E239" s="19"/>
      <c r="F239" s="20"/>
      <c r="G239" s="20"/>
      <c r="H239" s="20"/>
      <c r="I239" s="20"/>
    </row>
    <row r="240" spans="1:9" ht="15.75">
      <c r="A240" s="19"/>
      <c r="B240" s="20"/>
      <c r="C240" s="19"/>
      <c r="D240" s="19"/>
      <c r="E240" s="19"/>
      <c r="F240" s="20"/>
      <c r="G240" s="20"/>
      <c r="H240" s="20"/>
      <c r="I240" s="20"/>
    </row>
    <row r="241" spans="1:9" ht="15.75">
      <c r="A241" s="19"/>
      <c r="B241" s="20"/>
      <c r="C241" s="19"/>
      <c r="D241" s="19"/>
      <c r="E241" s="19"/>
      <c r="F241" s="20"/>
      <c r="G241" s="20"/>
      <c r="H241" s="20"/>
      <c r="I241" s="20"/>
    </row>
    <row r="242" spans="1:9" ht="15.75">
      <c r="A242" s="19"/>
      <c r="B242" s="20"/>
      <c r="C242" s="19"/>
      <c r="D242" s="19"/>
      <c r="E242" s="19"/>
      <c r="F242" s="20"/>
      <c r="G242" s="20"/>
      <c r="H242" s="20"/>
      <c r="I242" s="20"/>
    </row>
    <row r="243" spans="1:9" ht="15.75">
      <c r="A243" s="19"/>
      <c r="B243" s="20"/>
      <c r="C243" s="19"/>
      <c r="D243" s="19"/>
      <c r="E243" s="19"/>
      <c r="F243" s="20"/>
      <c r="G243" s="20"/>
      <c r="H243" s="20"/>
      <c r="I243" s="20"/>
    </row>
    <row r="244" spans="1:9" ht="15.75">
      <c r="A244" s="19"/>
      <c r="B244" s="20"/>
      <c r="C244" s="19"/>
      <c r="D244" s="19"/>
      <c r="E244" s="19"/>
      <c r="F244" s="20"/>
      <c r="G244" s="20"/>
      <c r="H244" s="20"/>
      <c r="I244" s="20"/>
    </row>
    <row r="245" spans="1:9" ht="15.75">
      <c r="A245" s="19"/>
      <c r="B245" s="20"/>
      <c r="C245" s="19"/>
      <c r="D245" s="19"/>
      <c r="E245" s="19"/>
      <c r="F245" s="20"/>
      <c r="G245" s="20"/>
      <c r="H245" s="20"/>
      <c r="I245" s="20"/>
    </row>
    <row r="246" spans="1:9" ht="15.75">
      <c r="A246" s="19"/>
      <c r="B246" s="20"/>
      <c r="C246" s="19"/>
      <c r="D246" s="19"/>
      <c r="E246" s="19"/>
      <c r="F246" s="20"/>
      <c r="G246" s="20"/>
      <c r="H246" s="20"/>
      <c r="I246" s="20"/>
    </row>
    <row r="247" spans="1:9" ht="15.75">
      <c r="A247" s="19"/>
      <c r="B247" s="20"/>
      <c r="C247" s="19"/>
      <c r="D247" s="19"/>
      <c r="E247" s="19"/>
      <c r="F247" s="20"/>
      <c r="G247" s="20"/>
      <c r="H247" s="20"/>
      <c r="I247" s="20"/>
    </row>
    <row r="248" spans="1:9" ht="15.75">
      <c r="A248" s="19"/>
      <c r="B248" s="20"/>
      <c r="C248" s="19"/>
      <c r="D248" s="19"/>
      <c r="E248" s="19"/>
      <c r="F248" s="20"/>
      <c r="G248" s="20"/>
      <c r="H248" s="20"/>
      <c r="I248" s="20"/>
    </row>
    <row r="249" spans="1:9" ht="15.75">
      <c r="A249" s="19"/>
      <c r="B249" s="20"/>
      <c r="C249" s="19"/>
      <c r="D249" s="19"/>
      <c r="E249" s="19"/>
      <c r="F249" s="20"/>
      <c r="G249" s="20"/>
      <c r="H249" s="20"/>
      <c r="I249" s="20"/>
    </row>
    <row r="250" spans="1:9" ht="15.75">
      <c r="A250" s="19"/>
      <c r="B250" s="20"/>
      <c r="C250" s="19"/>
      <c r="D250" s="19"/>
      <c r="E250" s="19"/>
      <c r="F250" s="20"/>
      <c r="G250" s="20"/>
      <c r="H250" s="20"/>
      <c r="I250" s="20"/>
    </row>
    <row r="251" spans="1:9" ht="15.75">
      <c r="A251" s="19"/>
      <c r="B251" s="20"/>
      <c r="C251" s="19"/>
      <c r="D251" s="19"/>
      <c r="E251" s="19"/>
      <c r="F251" s="20"/>
      <c r="G251" s="20"/>
      <c r="H251" s="20"/>
      <c r="I251" s="20"/>
    </row>
    <row r="252" spans="1:9" ht="15.75">
      <c r="A252" s="19"/>
      <c r="B252" s="20"/>
      <c r="C252" s="19"/>
      <c r="D252" s="19"/>
      <c r="E252" s="19"/>
      <c r="F252" s="20"/>
      <c r="G252" s="20"/>
      <c r="H252" s="20"/>
      <c r="I252" s="20"/>
    </row>
    <row r="253" spans="1:9" ht="15.75">
      <c r="A253" s="19"/>
      <c r="B253" s="20"/>
      <c r="C253" s="19"/>
      <c r="D253" s="19"/>
      <c r="E253" s="19"/>
      <c r="F253" s="20"/>
      <c r="G253" s="20"/>
      <c r="H253" s="20"/>
      <c r="I253" s="20"/>
    </row>
    <row r="254" spans="1:9" ht="15.75">
      <c r="A254" s="19"/>
      <c r="B254" s="20"/>
      <c r="C254" s="19"/>
      <c r="D254" s="19"/>
      <c r="E254" s="19"/>
      <c r="F254" s="20"/>
      <c r="G254" s="20"/>
      <c r="H254" s="20"/>
      <c r="I254" s="20"/>
    </row>
    <row r="255" spans="1:9" ht="15.75">
      <c r="A255" s="19"/>
      <c r="B255" s="20"/>
      <c r="C255" s="19"/>
      <c r="D255" s="19"/>
      <c r="E255" s="19"/>
      <c r="F255" s="20"/>
      <c r="G255" s="20"/>
      <c r="H255" s="20"/>
      <c r="I255" s="20"/>
    </row>
    <row r="256" spans="1:9" ht="15.75">
      <c r="A256" s="19"/>
      <c r="B256" s="20"/>
      <c r="C256" s="19"/>
      <c r="D256" s="19"/>
      <c r="E256" s="19"/>
      <c r="F256" s="20"/>
      <c r="G256" s="20"/>
      <c r="H256" s="20"/>
      <c r="I256" s="20"/>
    </row>
    <row r="257" spans="1:9" ht="15.75">
      <c r="A257" s="19"/>
      <c r="B257" s="20"/>
      <c r="C257" s="19"/>
      <c r="D257" s="19"/>
      <c r="E257" s="19"/>
      <c r="F257" s="20"/>
      <c r="G257" s="20"/>
      <c r="H257" s="20"/>
      <c r="I257" s="20"/>
    </row>
    <row r="258" spans="1:9" ht="15.75">
      <c r="A258" s="19"/>
      <c r="B258" s="20"/>
      <c r="C258" s="19"/>
      <c r="D258" s="19"/>
      <c r="E258" s="19"/>
      <c r="F258" s="20"/>
      <c r="G258" s="20"/>
      <c r="H258" s="20"/>
      <c r="I258" s="20"/>
    </row>
    <row r="259" spans="1:9" ht="15.75">
      <c r="A259" s="19"/>
      <c r="B259" s="20"/>
      <c r="C259" s="19"/>
      <c r="D259" s="19"/>
      <c r="E259" s="19"/>
      <c r="F259" s="20"/>
      <c r="G259" s="20"/>
      <c r="H259" s="20"/>
      <c r="I259" s="20"/>
    </row>
    <row r="260" spans="1:9" ht="15.75">
      <c r="A260" s="19"/>
      <c r="B260" s="20"/>
      <c r="C260" s="19"/>
      <c r="D260" s="19"/>
      <c r="E260" s="19"/>
      <c r="F260" s="20"/>
      <c r="G260" s="20"/>
      <c r="H260" s="20"/>
      <c r="I260" s="20"/>
    </row>
    <row r="261" spans="1:9" ht="15.75">
      <c r="A261" s="19"/>
      <c r="B261" s="20"/>
      <c r="C261" s="19"/>
      <c r="D261" s="19"/>
      <c r="E261" s="19"/>
      <c r="F261" s="20"/>
      <c r="G261" s="20"/>
      <c r="H261" s="20"/>
      <c r="I261" s="20"/>
    </row>
    <row r="262" spans="1:9" ht="15.75">
      <c r="A262" s="19"/>
      <c r="B262" s="20"/>
      <c r="C262" s="19"/>
      <c r="D262" s="19"/>
      <c r="E262" s="19"/>
      <c r="F262" s="20"/>
      <c r="G262" s="20"/>
      <c r="H262" s="20"/>
      <c r="I262" s="20"/>
    </row>
    <row r="263" spans="1:9" ht="15.75">
      <c r="A263" s="19"/>
      <c r="B263" s="20"/>
      <c r="C263" s="19"/>
      <c r="D263" s="19"/>
      <c r="E263" s="19"/>
      <c r="F263" s="20"/>
      <c r="G263" s="20"/>
      <c r="H263" s="20"/>
      <c r="I263" s="20"/>
    </row>
    <row r="264" spans="1:9" ht="15.75">
      <c r="A264" s="19"/>
      <c r="B264" s="20"/>
      <c r="C264" s="19"/>
      <c r="D264" s="19"/>
      <c r="E264" s="19"/>
      <c r="F264" s="20"/>
      <c r="G264" s="20"/>
      <c r="H264" s="20"/>
      <c r="I264" s="20"/>
    </row>
    <row r="265" spans="1:9" ht="15.75">
      <c r="A265" s="19"/>
      <c r="B265" s="20"/>
      <c r="C265" s="19"/>
      <c r="D265" s="19"/>
      <c r="E265" s="19"/>
      <c r="F265" s="20"/>
      <c r="G265" s="20"/>
      <c r="H265" s="20"/>
      <c r="I265" s="20"/>
    </row>
    <row r="266" spans="1:9" ht="15.75">
      <c r="A266" s="19"/>
      <c r="B266" s="20"/>
      <c r="C266" s="19"/>
      <c r="D266" s="19"/>
      <c r="E266" s="19"/>
      <c r="F266" s="20"/>
      <c r="G266" s="20"/>
      <c r="H266" s="20"/>
      <c r="I266" s="20"/>
    </row>
    <row r="267" spans="1:9" ht="15.75">
      <c r="A267" s="19"/>
      <c r="B267" s="20"/>
      <c r="C267" s="19"/>
      <c r="D267" s="19"/>
      <c r="E267" s="19"/>
      <c r="F267" s="20"/>
      <c r="G267" s="20"/>
      <c r="H267" s="20"/>
      <c r="I267" s="20"/>
    </row>
    <row r="268" spans="1:9" ht="15.75">
      <c r="A268" s="19"/>
      <c r="B268" s="20"/>
      <c r="C268" s="19"/>
      <c r="D268" s="19"/>
      <c r="E268" s="19"/>
      <c r="F268" s="20"/>
      <c r="G268" s="20"/>
      <c r="H268" s="20"/>
      <c r="I268" s="20"/>
    </row>
    <row r="269" spans="1:9" ht="15.75">
      <c r="A269" s="19"/>
      <c r="B269" s="20"/>
      <c r="C269" s="19"/>
      <c r="D269" s="19"/>
      <c r="E269" s="19"/>
      <c r="F269" s="20"/>
      <c r="G269" s="20"/>
      <c r="H269" s="20"/>
      <c r="I269" s="20"/>
    </row>
    <row r="270" spans="1:9" ht="15.75">
      <c r="A270" s="19"/>
      <c r="B270" s="20"/>
      <c r="C270" s="19"/>
      <c r="D270" s="19"/>
      <c r="E270" s="19"/>
      <c r="F270" s="20"/>
      <c r="G270" s="20"/>
      <c r="H270" s="20"/>
      <c r="I270" s="20"/>
    </row>
    <row r="271" spans="1:9" ht="16.5" thickBot="1">
      <c r="A271" s="15"/>
      <c r="B271" s="15"/>
      <c r="C271" s="15"/>
      <c r="D271" s="15"/>
      <c r="E271" s="15"/>
      <c r="F271" s="15"/>
      <c r="G271" s="23"/>
      <c r="H271" s="15"/>
      <c r="I271" s="23"/>
    </row>
    <row r="272" spans="1:9" ht="16.5" thickBot="1">
      <c r="A272" s="2">
        <v>1</v>
      </c>
      <c r="B272" s="14"/>
      <c r="C272" s="16" t="s">
        <v>17</v>
      </c>
      <c r="D272" s="17"/>
      <c r="E272" s="18"/>
      <c r="F272" s="7"/>
      <c r="G272" s="27"/>
      <c r="H272" s="13"/>
      <c r="I272" s="29"/>
    </row>
    <row r="273" spans="1:9" ht="16.5" thickBot="1">
      <c r="A273" s="15"/>
      <c r="B273" s="15"/>
      <c r="C273" s="15"/>
      <c r="D273" s="15"/>
      <c r="E273" s="15"/>
      <c r="F273" s="15"/>
      <c r="G273" s="23"/>
      <c r="H273" s="15"/>
      <c r="I273" s="23"/>
    </row>
    <row r="274" spans="1:12" ht="48" customHeight="1" thickBot="1">
      <c r="A274" s="3" t="s">
        <v>10</v>
      </c>
      <c r="B274" s="4">
        <v>87418</v>
      </c>
      <c r="C274" s="10" t="s">
        <v>15</v>
      </c>
      <c r="D274" s="4" t="s">
        <v>7</v>
      </c>
      <c r="E274" s="8">
        <v>282.45</v>
      </c>
      <c r="F274" s="5"/>
      <c r="G274" s="28"/>
      <c r="H274" s="12"/>
      <c r="I274" s="30"/>
      <c r="L274" s="6"/>
    </row>
    <row r="275" spans="1:12" ht="60">
      <c r="A275" s="3" t="s">
        <v>10</v>
      </c>
      <c r="B275" s="4">
        <v>87418</v>
      </c>
      <c r="C275" s="10" t="s">
        <v>15</v>
      </c>
      <c r="D275" s="4" t="s">
        <v>7</v>
      </c>
      <c r="E275" s="8">
        <v>282.45</v>
      </c>
      <c r="F275" s="5"/>
      <c r="G275" s="28"/>
      <c r="H275" s="12"/>
      <c r="I275" s="30"/>
      <c r="L275" s="6"/>
    </row>
    <row r="276" spans="1:9" ht="16.5" thickBot="1">
      <c r="A276" s="198"/>
      <c r="B276" s="198"/>
      <c r="C276" s="198"/>
      <c r="D276" s="198"/>
      <c r="E276" s="198"/>
      <c r="F276" s="198"/>
      <c r="G276" s="198"/>
      <c r="H276" s="198"/>
      <c r="I276" s="21"/>
    </row>
    <row r="277" spans="1:9" ht="16.5" thickBot="1">
      <c r="A277" s="199" t="s">
        <v>8</v>
      </c>
      <c r="B277" s="200"/>
      <c r="C277" s="200"/>
      <c r="D277" s="200"/>
      <c r="E277" s="200"/>
      <c r="F277" s="200"/>
      <c r="G277" s="22"/>
      <c r="H277" s="11"/>
      <c r="I277" s="29"/>
    </row>
    <row r="278" spans="1:9" ht="16.5" thickBot="1">
      <c r="A278" s="197"/>
      <c r="B278" s="197"/>
      <c r="C278" s="197"/>
      <c r="D278" s="197"/>
      <c r="E278" s="197"/>
      <c r="F278" s="197"/>
      <c r="G278" s="197"/>
      <c r="H278" s="197"/>
      <c r="I278" s="23"/>
    </row>
    <row r="279" spans="1:9" ht="16.5" thickBot="1">
      <c r="A279" s="139"/>
      <c r="B279" s="140"/>
      <c r="C279" s="140"/>
      <c r="D279" s="140"/>
      <c r="E279" s="140"/>
      <c r="F279" s="140"/>
      <c r="G279" s="140"/>
      <c r="H279" s="205"/>
      <c r="I279" s="31"/>
    </row>
    <row r="280" spans="1:9" ht="15.75">
      <c r="A280" s="206"/>
      <c r="B280" s="207"/>
      <c r="C280" s="207"/>
      <c r="D280" s="207"/>
      <c r="E280" s="207"/>
      <c r="F280" s="207"/>
      <c r="G280" s="207"/>
      <c r="H280" s="208"/>
      <c r="I280" s="31"/>
    </row>
    <row r="281" spans="1:9" ht="15.75">
      <c r="A281" s="141"/>
      <c r="B281" s="142"/>
      <c r="C281" s="142"/>
      <c r="D281" s="142"/>
      <c r="E281" s="142"/>
      <c r="F281" s="142"/>
      <c r="G281" s="142"/>
      <c r="H281" s="209"/>
      <c r="I281" s="23"/>
    </row>
    <row r="282" spans="1:9" ht="15.75">
      <c r="A282" s="141"/>
      <c r="B282" s="142"/>
      <c r="C282" s="142"/>
      <c r="D282" s="142"/>
      <c r="E282" s="142"/>
      <c r="F282" s="142"/>
      <c r="G282" s="142"/>
      <c r="H282" s="209"/>
      <c r="I282" s="23"/>
    </row>
    <row r="283" spans="1:9" ht="15.75">
      <c r="A283" s="149" t="s">
        <v>9</v>
      </c>
      <c r="B283" s="150"/>
      <c r="C283" s="150"/>
      <c r="D283" s="150"/>
      <c r="E283" s="150"/>
      <c r="F283" s="150"/>
      <c r="G283" s="150"/>
      <c r="H283" s="213"/>
      <c r="I283" s="24"/>
    </row>
    <row r="284" spans="1:9" ht="15.75">
      <c r="A284" s="203"/>
      <c r="B284" s="204"/>
      <c r="C284" s="204"/>
      <c r="D284" s="204"/>
      <c r="E284" s="204"/>
      <c r="F284" s="204"/>
      <c r="G284" s="204"/>
      <c r="H284" s="214"/>
      <c r="I284" s="25"/>
    </row>
    <row r="285" spans="1:9" ht="15.75">
      <c r="A285" s="141"/>
      <c r="B285" s="142"/>
      <c r="C285" s="142"/>
      <c r="D285" s="142"/>
      <c r="E285" s="143"/>
      <c r="F285" s="143"/>
      <c r="G285" s="143"/>
      <c r="H285" s="215"/>
      <c r="I285" s="26"/>
    </row>
    <row r="286" spans="1:9" ht="16.5" thickBot="1">
      <c r="A286" s="144"/>
      <c r="B286" s="145"/>
      <c r="C286" s="145"/>
      <c r="D286" s="145"/>
      <c r="E286" s="146"/>
      <c r="F286" s="146"/>
      <c r="G286" s="146"/>
      <c r="H286" s="216"/>
      <c r="I286" s="24"/>
    </row>
    <row r="288" ht="15.75" customHeight="1"/>
    <row r="291" ht="16.5" customHeight="1"/>
  </sheetData>
  <sheetProtection/>
  <mergeCells count="55">
    <mergeCell ref="A286:D286"/>
    <mergeCell ref="A285:D285"/>
    <mergeCell ref="E283:H283"/>
    <mergeCell ref="E284:H284"/>
    <mergeCell ref="E285:H285"/>
    <mergeCell ref="E286:H286"/>
    <mergeCell ref="A283:D283"/>
    <mergeCell ref="A278:H278"/>
    <mergeCell ref="A276:H276"/>
    <mergeCell ref="A277:F277"/>
    <mergeCell ref="A72:F72"/>
    <mergeCell ref="A284:D284"/>
    <mergeCell ref="A279:H279"/>
    <mergeCell ref="A280:H280"/>
    <mergeCell ref="A281:H281"/>
    <mergeCell ref="A282:H282"/>
    <mergeCell ref="A81:D81"/>
    <mergeCell ref="E81:H81"/>
    <mergeCell ref="G72:H72"/>
    <mergeCell ref="A73:G73"/>
    <mergeCell ref="A74:F74"/>
    <mergeCell ref="G74:H74"/>
    <mergeCell ref="A75:G75"/>
    <mergeCell ref="C1:I2"/>
    <mergeCell ref="A7:H7"/>
    <mergeCell ref="H8:H9"/>
    <mergeCell ref="A8:A9"/>
    <mergeCell ref="B8:B9"/>
    <mergeCell ref="A1:B2"/>
    <mergeCell ref="A3:B4"/>
    <mergeCell ref="A5:B5"/>
    <mergeCell ref="A6:B6"/>
    <mergeCell ref="C8:C9"/>
    <mergeCell ref="D8:D9"/>
    <mergeCell ref="E8:E9"/>
    <mergeCell ref="F8:F9"/>
    <mergeCell ref="H3:H4"/>
    <mergeCell ref="H5:H6"/>
    <mergeCell ref="I8:I9"/>
    <mergeCell ref="G8:G9"/>
    <mergeCell ref="C3:G4"/>
    <mergeCell ref="C5:G5"/>
    <mergeCell ref="C6:G6"/>
    <mergeCell ref="I3:I4"/>
    <mergeCell ref="I5:I6"/>
    <mergeCell ref="A76:H76"/>
    <mergeCell ref="A82:D82"/>
    <mergeCell ref="E82:H82"/>
    <mergeCell ref="A83:D83"/>
    <mergeCell ref="E83:H83"/>
    <mergeCell ref="A77:H77"/>
    <mergeCell ref="A78:H78"/>
    <mergeCell ref="A79:H79"/>
    <mergeCell ref="A80:D80"/>
    <mergeCell ref="E80:H80"/>
  </mergeCells>
  <printOptions horizontalCentered="1"/>
  <pageMargins left="0" right="0" top="0.7874015748031497" bottom="0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C1">
      <selection activeCell="G27" sqref="G27"/>
    </sheetView>
  </sheetViews>
  <sheetFormatPr defaultColWidth="9.140625" defaultRowHeight="15"/>
  <cols>
    <col min="1" max="1" width="12.140625" style="1" customWidth="1"/>
    <col min="2" max="2" width="11.140625" style="1" customWidth="1"/>
    <col min="3" max="3" width="68.00390625" style="1" customWidth="1"/>
    <col min="4" max="4" width="14.28125" style="1" customWidth="1"/>
    <col min="5" max="5" width="15.57421875" style="1" bestFit="1" customWidth="1"/>
    <col min="6" max="6" width="14.28125" style="1" bestFit="1" customWidth="1"/>
    <col min="7" max="7" width="13.8515625" style="1" bestFit="1" customWidth="1"/>
    <col min="8" max="8" width="16.28125" style="1" bestFit="1" customWidth="1"/>
    <col min="9" max="11" width="13.8515625" style="1" bestFit="1" customWidth="1"/>
    <col min="12" max="16384" width="9.140625" style="1" customWidth="1"/>
  </cols>
  <sheetData>
    <row r="1" spans="1:11" ht="15.75" customHeight="1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ht="15.75" customHeight="1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2"/>
    </row>
    <row r="3" spans="1:11" ht="15.75" customHeight="1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39" customHeight="1" thickBot="1">
      <c r="A4" s="135"/>
      <c r="B4" s="136"/>
      <c r="C4" s="136"/>
      <c r="D4" s="137"/>
      <c r="E4" s="137"/>
      <c r="F4" s="136"/>
      <c r="G4" s="136"/>
      <c r="H4" s="136"/>
      <c r="I4" s="136"/>
      <c r="J4" s="136"/>
      <c r="K4" s="138"/>
    </row>
    <row r="5" spans="1:11" ht="16.5" thickBot="1">
      <c r="A5" s="223" t="s">
        <v>230</v>
      </c>
      <c r="B5" s="224"/>
      <c r="C5" s="224"/>
      <c r="D5" s="224"/>
      <c r="E5" s="224"/>
      <c r="F5" s="224"/>
      <c r="G5" s="224"/>
      <c r="H5" s="224"/>
      <c r="I5" s="224"/>
      <c r="J5" s="224"/>
      <c r="K5" s="225"/>
    </row>
    <row r="6" spans="1:11" ht="16.5" customHeight="1" thickBot="1">
      <c r="A6" s="92"/>
      <c r="B6" s="92"/>
      <c r="C6" s="92"/>
      <c r="D6" s="93"/>
      <c r="E6" s="93"/>
      <c r="F6" s="92"/>
      <c r="G6" s="92"/>
      <c r="H6" s="92"/>
      <c r="I6" s="92"/>
      <c r="J6" s="92"/>
      <c r="K6" s="92"/>
    </row>
    <row r="7" spans="1:11" ht="16.5" customHeight="1">
      <c r="A7" s="226" t="s">
        <v>231</v>
      </c>
      <c r="B7" s="227"/>
      <c r="C7" s="228"/>
      <c r="D7" s="94" t="s">
        <v>252</v>
      </c>
      <c r="E7" s="95"/>
      <c r="F7" s="229">
        <f>Orçamento!I74</f>
        <v>69989.3503195363</v>
      </c>
      <c r="G7" s="229"/>
      <c r="H7" s="230"/>
      <c r="I7" s="231" t="s">
        <v>254</v>
      </c>
      <c r="J7" s="231"/>
      <c r="K7" s="232"/>
    </row>
    <row r="8" spans="1:11" ht="16.5" customHeight="1" thickBot="1">
      <c r="A8" s="233" t="s">
        <v>251</v>
      </c>
      <c r="B8" s="234"/>
      <c r="C8" s="235"/>
      <c r="D8" s="236" t="s">
        <v>253</v>
      </c>
      <c r="E8" s="237"/>
      <c r="F8" s="237"/>
      <c r="G8" s="237"/>
      <c r="H8" s="238"/>
      <c r="I8" s="239" t="s">
        <v>232</v>
      </c>
      <c r="J8" s="234"/>
      <c r="K8" s="240"/>
    </row>
    <row r="9" spans="1:11" ht="25.5">
      <c r="A9" s="96" t="s">
        <v>2</v>
      </c>
      <c r="B9" s="97" t="s">
        <v>233</v>
      </c>
      <c r="C9" s="97" t="s">
        <v>234</v>
      </c>
      <c r="D9" s="98" t="s">
        <v>235</v>
      </c>
      <c r="E9" s="98" t="s">
        <v>236</v>
      </c>
      <c r="F9" s="97" t="s">
        <v>237</v>
      </c>
      <c r="G9" s="97" t="s">
        <v>238</v>
      </c>
      <c r="H9" s="97" t="s">
        <v>239</v>
      </c>
      <c r="I9" s="97" t="s">
        <v>240</v>
      </c>
      <c r="J9" s="97" t="s">
        <v>241</v>
      </c>
      <c r="K9" s="99" t="s">
        <v>242</v>
      </c>
    </row>
    <row r="10" spans="1:11" ht="16.5" customHeight="1">
      <c r="A10" s="241">
        <v>1</v>
      </c>
      <c r="B10" s="243"/>
      <c r="C10" s="245" t="s">
        <v>250</v>
      </c>
      <c r="D10" s="100" t="s">
        <v>243</v>
      </c>
      <c r="E10" s="101">
        <f>E11/$E$35</f>
        <v>0.16116830387588932</v>
      </c>
      <c r="F10" s="102">
        <v>1</v>
      </c>
      <c r="G10" s="103"/>
      <c r="H10" s="103"/>
      <c r="I10" s="104"/>
      <c r="J10" s="105"/>
      <c r="K10" s="106"/>
    </row>
    <row r="11" spans="1:11" ht="16.5" customHeight="1">
      <c r="A11" s="242"/>
      <c r="B11" s="244"/>
      <c r="C11" s="246"/>
      <c r="D11" s="107" t="s">
        <v>244</v>
      </c>
      <c r="E11" s="108">
        <f>Orçamento!I11</f>
        <v>11280.0648803751</v>
      </c>
      <c r="F11" s="109">
        <f>F10*$E$11</f>
        <v>11280.0648803751</v>
      </c>
      <c r="G11" s="109"/>
      <c r="H11" s="109"/>
      <c r="I11" s="109"/>
      <c r="J11" s="109"/>
      <c r="K11" s="110"/>
    </row>
    <row r="12" spans="1:11" ht="15.75" customHeight="1">
      <c r="A12" s="241">
        <v>2</v>
      </c>
      <c r="B12" s="247"/>
      <c r="C12" s="246" t="s">
        <v>32</v>
      </c>
      <c r="D12" s="107" t="s">
        <v>243</v>
      </c>
      <c r="E12" s="101">
        <f>E13/$E$35</f>
        <v>0.00958530944546771</v>
      </c>
      <c r="F12" s="102">
        <v>1</v>
      </c>
      <c r="G12" s="102"/>
      <c r="H12" s="102"/>
      <c r="I12" s="111"/>
      <c r="J12" s="101"/>
      <c r="K12" s="112"/>
    </row>
    <row r="13" spans="1:11" ht="15.75">
      <c r="A13" s="242"/>
      <c r="B13" s="244"/>
      <c r="C13" s="246"/>
      <c r="D13" s="107" t="s">
        <v>244</v>
      </c>
      <c r="E13" s="108">
        <f>Orçamento!I19</f>
        <v>670.8695806999999</v>
      </c>
      <c r="F13" s="109">
        <f>E13*F12</f>
        <v>670.8695806999999</v>
      </c>
      <c r="G13" s="109"/>
      <c r="H13" s="109"/>
      <c r="I13" s="109"/>
      <c r="J13" s="109"/>
      <c r="K13" s="110"/>
    </row>
    <row r="14" spans="1:11" ht="15.75" customHeight="1">
      <c r="A14" s="241">
        <v>3</v>
      </c>
      <c r="B14" s="247"/>
      <c r="C14" s="246" t="s">
        <v>50</v>
      </c>
      <c r="D14" s="107" t="s">
        <v>243</v>
      </c>
      <c r="E14" s="101">
        <f>E15/$E$35</f>
        <v>0.0022283303143687937</v>
      </c>
      <c r="F14" s="103"/>
      <c r="G14" s="102">
        <v>1</v>
      </c>
      <c r="H14" s="103"/>
      <c r="I14" s="111"/>
      <c r="J14" s="101"/>
      <c r="K14" s="112"/>
    </row>
    <row r="15" spans="1:11" ht="15.75">
      <c r="A15" s="242"/>
      <c r="B15" s="244"/>
      <c r="C15" s="246"/>
      <c r="D15" s="107" t="s">
        <v>244</v>
      </c>
      <c r="E15" s="108">
        <f>Orçamento!I21</f>
        <v>155.95939099999998</v>
      </c>
      <c r="F15" s="109"/>
      <c r="G15" s="109">
        <f>G14*$E$15</f>
        <v>155.95939099999998</v>
      </c>
      <c r="H15" s="109"/>
      <c r="I15" s="109"/>
      <c r="J15" s="109"/>
      <c r="K15" s="110"/>
    </row>
    <row r="16" spans="1:11" ht="15.75" customHeight="1">
      <c r="A16" s="241">
        <v>4</v>
      </c>
      <c r="B16" s="247"/>
      <c r="C16" s="246" t="s">
        <v>51</v>
      </c>
      <c r="D16" s="107" t="s">
        <v>243</v>
      </c>
      <c r="E16" s="101">
        <f>E17/$E$35</f>
        <v>0.029360535747485046</v>
      </c>
      <c r="F16" s="103"/>
      <c r="G16" s="102">
        <v>0.7</v>
      </c>
      <c r="H16" s="102">
        <v>0.3</v>
      </c>
      <c r="I16" s="104"/>
      <c r="J16" s="105"/>
      <c r="K16" s="112"/>
    </row>
    <row r="17" spans="1:11" ht="15.75">
      <c r="A17" s="242"/>
      <c r="B17" s="244"/>
      <c r="C17" s="246"/>
      <c r="D17" s="107" t="s">
        <v>244</v>
      </c>
      <c r="E17" s="108">
        <f>Orçamento!I24</f>
        <v>2054.924822</v>
      </c>
      <c r="F17" s="109"/>
      <c r="G17" s="109">
        <f>G16*$E$17</f>
        <v>1438.4473753999998</v>
      </c>
      <c r="H17" s="109">
        <f>E17*H16</f>
        <v>616.4774466</v>
      </c>
      <c r="I17" s="109"/>
      <c r="J17" s="109"/>
      <c r="K17" s="110"/>
    </row>
    <row r="18" spans="1:11" ht="15.75">
      <c r="A18" s="241">
        <v>5</v>
      </c>
      <c r="B18" s="247"/>
      <c r="C18" s="246" t="s">
        <v>52</v>
      </c>
      <c r="D18" s="107" t="s">
        <v>243</v>
      </c>
      <c r="E18" s="101">
        <f>E19/$E$35</f>
        <v>0.03824196743905041</v>
      </c>
      <c r="F18" s="103"/>
      <c r="G18" s="102">
        <v>0.6</v>
      </c>
      <c r="H18" s="102">
        <v>0.4</v>
      </c>
      <c r="I18" s="111"/>
      <c r="J18" s="101"/>
      <c r="K18" s="106"/>
    </row>
    <row r="19" spans="1:11" ht="15.75">
      <c r="A19" s="242"/>
      <c r="B19" s="244"/>
      <c r="C19" s="246"/>
      <c r="D19" s="107" t="s">
        <v>244</v>
      </c>
      <c r="E19" s="108">
        <f>Orçamento!I29</f>
        <v>2676.530456</v>
      </c>
      <c r="F19" s="109"/>
      <c r="G19" s="109">
        <f>G18*$E$19</f>
        <v>1605.9182736</v>
      </c>
      <c r="H19" s="109">
        <f>H18*$E$19</f>
        <v>1070.6121824</v>
      </c>
      <c r="I19" s="109"/>
      <c r="J19" s="109"/>
      <c r="K19" s="110"/>
    </row>
    <row r="20" spans="1:11" ht="15.75" customHeight="1">
      <c r="A20" s="241">
        <v>6</v>
      </c>
      <c r="B20" s="247"/>
      <c r="C20" s="246" t="s">
        <v>245</v>
      </c>
      <c r="D20" s="107" t="s">
        <v>243</v>
      </c>
      <c r="E20" s="101">
        <f>E21/$E$35</f>
        <v>0.11716793819388507</v>
      </c>
      <c r="F20" s="103"/>
      <c r="G20" s="102">
        <v>0.3</v>
      </c>
      <c r="H20" s="102">
        <v>0.3</v>
      </c>
      <c r="I20" s="111">
        <v>0.3</v>
      </c>
      <c r="J20" s="101">
        <v>0.1</v>
      </c>
      <c r="K20" s="112"/>
    </row>
    <row r="21" spans="1:11" ht="15.75">
      <c r="A21" s="242"/>
      <c r="B21" s="244"/>
      <c r="C21" s="246"/>
      <c r="D21" s="107" t="s">
        <v>244</v>
      </c>
      <c r="E21" s="108">
        <f>Orçamento!I33</f>
        <v>8200.507872469601</v>
      </c>
      <c r="F21" s="109"/>
      <c r="G21" s="109">
        <f>G20*$E$21</f>
        <v>2460.15236174088</v>
      </c>
      <c r="H21" s="109">
        <f>H20*$E$21</f>
        <v>2460.15236174088</v>
      </c>
      <c r="I21" s="109">
        <f>I20*$E$21</f>
        <v>2460.15236174088</v>
      </c>
      <c r="J21" s="109">
        <f>E21*J20</f>
        <v>820.0507872469602</v>
      </c>
      <c r="K21" s="110"/>
    </row>
    <row r="22" spans="1:11" ht="15.75" customHeight="1">
      <c r="A22" s="241">
        <v>7</v>
      </c>
      <c r="B22" s="247"/>
      <c r="C22" s="246" t="s">
        <v>53</v>
      </c>
      <c r="D22" s="107" t="s">
        <v>243</v>
      </c>
      <c r="E22" s="101">
        <f>E23/$E$35</f>
        <v>0.24050791533441282</v>
      </c>
      <c r="F22" s="103"/>
      <c r="G22" s="102">
        <v>0.1</v>
      </c>
      <c r="H22" s="102">
        <v>0.2</v>
      </c>
      <c r="I22" s="111">
        <v>0.35</v>
      </c>
      <c r="J22" s="101">
        <v>0.35</v>
      </c>
      <c r="K22" s="106"/>
    </row>
    <row r="23" spans="1:11" ht="15.75">
      <c r="A23" s="242"/>
      <c r="B23" s="244"/>
      <c r="C23" s="246"/>
      <c r="D23" s="107" t="s">
        <v>244</v>
      </c>
      <c r="E23" s="108">
        <f>Orçamento!I37</f>
        <v>16832.9927409616</v>
      </c>
      <c r="F23" s="109"/>
      <c r="G23" s="109">
        <f>G22*$E$23</f>
        <v>1683.29927409616</v>
      </c>
      <c r="H23" s="109">
        <f>H22*$E$23</f>
        <v>3366.59854819232</v>
      </c>
      <c r="I23" s="109">
        <f>I22*$E$23</f>
        <v>5891.54745933656</v>
      </c>
      <c r="J23" s="109">
        <f>J22*$E$23</f>
        <v>5891.54745933656</v>
      </c>
      <c r="K23" s="110"/>
    </row>
    <row r="24" spans="1:11" ht="15.75" customHeight="1">
      <c r="A24" s="241">
        <v>8</v>
      </c>
      <c r="B24" s="247"/>
      <c r="C24" s="246" t="s">
        <v>33</v>
      </c>
      <c r="D24" s="107" t="s">
        <v>243</v>
      </c>
      <c r="E24" s="101">
        <f>E25/$E$35</f>
        <v>0.05467184696715085</v>
      </c>
      <c r="F24" s="103"/>
      <c r="G24" s="103"/>
      <c r="H24" s="102">
        <v>0.25</v>
      </c>
      <c r="I24" s="111">
        <v>0.4</v>
      </c>
      <c r="J24" s="101">
        <v>0.2</v>
      </c>
      <c r="K24" s="112">
        <v>0.15</v>
      </c>
    </row>
    <row r="25" spans="1:11" ht="15.75">
      <c r="A25" s="242"/>
      <c r="B25" s="244"/>
      <c r="C25" s="246"/>
      <c r="D25" s="107" t="s">
        <v>244</v>
      </c>
      <c r="E25" s="108">
        <f>Orçamento!I42</f>
        <v>3826.4470499999998</v>
      </c>
      <c r="F25" s="109"/>
      <c r="G25" s="109">
        <f>G24*$E$25</f>
        <v>0</v>
      </c>
      <c r="H25" s="109">
        <f>H24*$E$25</f>
        <v>956.6117624999999</v>
      </c>
      <c r="I25" s="109">
        <f>I24*$E$25</f>
        <v>1530.57882</v>
      </c>
      <c r="J25" s="109">
        <f>J24*$E$25</f>
        <v>765.28941</v>
      </c>
      <c r="K25" s="110">
        <f>E25*K24</f>
        <v>573.9670574999999</v>
      </c>
    </row>
    <row r="26" spans="1:11" ht="15.75" customHeight="1">
      <c r="A26" s="241">
        <v>9</v>
      </c>
      <c r="B26" s="247"/>
      <c r="C26" s="246" t="s">
        <v>37</v>
      </c>
      <c r="D26" s="107" t="s">
        <v>243</v>
      </c>
      <c r="E26" s="101">
        <f>E27/$E$35</f>
        <v>0.0029375917773394487</v>
      </c>
      <c r="F26" s="113"/>
      <c r="G26" s="113"/>
      <c r="H26" s="102">
        <v>0.7</v>
      </c>
      <c r="I26" s="102">
        <v>0.3</v>
      </c>
      <c r="J26" s="101"/>
      <c r="K26" s="114"/>
    </row>
    <row r="27" spans="1:11" ht="15.75">
      <c r="A27" s="242"/>
      <c r="B27" s="244"/>
      <c r="C27" s="246"/>
      <c r="D27" s="107" t="s">
        <v>244</v>
      </c>
      <c r="E27" s="108">
        <f>Orçamento!I47</f>
        <v>205.60014</v>
      </c>
      <c r="F27" s="115"/>
      <c r="G27" s="115"/>
      <c r="H27" s="109">
        <f>H26*E27</f>
        <v>143.920098</v>
      </c>
      <c r="I27" s="109">
        <f>I26*E27</f>
        <v>61.680042</v>
      </c>
      <c r="J27" s="109"/>
      <c r="K27" s="116"/>
    </row>
    <row r="28" spans="1:11" ht="15.75">
      <c r="A28" s="241">
        <v>10</v>
      </c>
      <c r="B28" s="247"/>
      <c r="C28" s="246" t="s">
        <v>84</v>
      </c>
      <c r="D28" s="107" t="s">
        <v>243</v>
      </c>
      <c r="E28" s="101">
        <f>E29/$E$35</f>
        <v>0.024310519096861254</v>
      </c>
      <c r="F28" s="113"/>
      <c r="G28" s="102">
        <v>0.7</v>
      </c>
      <c r="H28" s="102">
        <v>0.3</v>
      </c>
      <c r="I28" s="113"/>
      <c r="J28" s="102"/>
      <c r="K28" s="117"/>
    </row>
    <row r="29" spans="1:11" ht="15.75">
      <c r="A29" s="242"/>
      <c r="B29" s="244"/>
      <c r="C29" s="246"/>
      <c r="D29" s="107" t="s">
        <v>244</v>
      </c>
      <c r="E29" s="108">
        <f>Orçamento!I51</f>
        <v>1701.47743752</v>
      </c>
      <c r="F29" s="115"/>
      <c r="G29" s="109">
        <f>G28*E29</f>
        <v>1191.034206264</v>
      </c>
      <c r="H29" s="115">
        <f>H28*E29</f>
        <v>510.443231256</v>
      </c>
      <c r="I29" s="115"/>
      <c r="J29" s="109"/>
      <c r="K29" s="110"/>
    </row>
    <row r="30" spans="1:11" ht="15.75">
      <c r="A30" s="241">
        <v>11</v>
      </c>
      <c r="B30" s="247"/>
      <c r="C30" s="246" t="s">
        <v>226</v>
      </c>
      <c r="D30" s="107" t="s">
        <v>243</v>
      </c>
      <c r="E30" s="101">
        <f>E31/$E$35</f>
        <v>0.11653126443614678</v>
      </c>
      <c r="F30" s="113"/>
      <c r="G30" s="102">
        <v>0.4</v>
      </c>
      <c r="H30" s="102">
        <v>0.4</v>
      </c>
      <c r="I30" s="102">
        <v>0.2</v>
      </c>
      <c r="J30" s="102"/>
      <c r="K30" s="117"/>
    </row>
    <row r="31" spans="1:11" ht="15.75">
      <c r="A31" s="242"/>
      <c r="B31" s="244"/>
      <c r="C31" s="246"/>
      <c r="D31" s="107" t="s">
        <v>244</v>
      </c>
      <c r="E31" s="108">
        <f>Orçamento!I59</f>
        <v>8155.947489800001</v>
      </c>
      <c r="F31" s="109"/>
      <c r="G31" s="109">
        <f>G30*$E$31</f>
        <v>3262.3789959200003</v>
      </c>
      <c r="H31" s="109">
        <f>H30*$E$31</f>
        <v>3262.3789959200003</v>
      </c>
      <c r="I31" s="109">
        <f>I30*$E$31</f>
        <v>1631.1894979600002</v>
      </c>
      <c r="J31" s="109"/>
      <c r="K31" s="110"/>
    </row>
    <row r="32" spans="1:11" ht="15.75">
      <c r="A32" s="241">
        <v>12</v>
      </c>
      <c r="B32" s="247"/>
      <c r="C32" s="246" t="s">
        <v>85</v>
      </c>
      <c r="D32" s="107" t="s">
        <v>243</v>
      </c>
      <c r="E32" s="101">
        <f>E33/$E$35</f>
        <v>0.20328847737194222</v>
      </c>
      <c r="F32" s="113"/>
      <c r="G32" s="113"/>
      <c r="H32" s="113"/>
      <c r="I32" s="113"/>
      <c r="J32" s="102">
        <v>0.3</v>
      </c>
      <c r="K32" s="117">
        <v>0.7</v>
      </c>
    </row>
    <row r="33" spans="1:11" ht="15.75">
      <c r="A33" s="242"/>
      <c r="B33" s="244"/>
      <c r="C33" s="246"/>
      <c r="D33" s="107" t="s">
        <v>244</v>
      </c>
      <c r="E33" s="108">
        <f>Orçamento!I62</f>
        <v>14228.028458709996</v>
      </c>
      <c r="F33" s="109"/>
      <c r="G33" s="109">
        <f>G32*$E$33</f>
        <v>0</v>
      </c>
      <c r="H33" s="109">
        <f>H32*$E$33</f>
        <v>0</v>
      </c>
      <c r="I33" s="118">
        <f>I32*$E$33</f>
        <v>0</v>
      </c>
      <c r="J33" s="109">
        <f>J32*E33</f>
        <v>4268.408537612999</v>
      </c>
      <c r="K33" s="110">
        <f>K32*E33</f>
        <v>9959.619921096997</v>
      </c>
    </row>
    <row r="34" spans="1:11" ht="15.75">
      <c r="A34" s="254" t="s">
        <v>246</v>
      </c>
      <c r="B34" s="255"/>
      <c r="C34" s="256"/>
      <c r="D34" s="119" t="s">
        <v>243</v>
      </c>
      <c r="E34" s="120">
        <f>E10+E12+E14+E16+E18+E20+E22+E24+E26+E28+E30+E32</f>
        <v>0.9999999999999998</v>
      </c>
      <c r="F34" s="120">
        <f aca="true" t="shared" si="0" ref="F34:K34">F35/$E$35</f>
        <v>0.17075361332135702</v>
      </c>
      <c r="G34" s="120">
        <f t="shared" si="0"/>
        <v>0.16855692793490695</v>
      </c>
      <c r="H34" s="120">
        <f t="shared" si="0"/>
        <v>0.1769868497143562</v>
      </c>
      <c r="I34" s="120">
        <f t="shared" si="0"/>
        <v>0.16538442103250156</v>
      </c>
      <c r="J34" s="120">
        <f t="shared" si="0"/>
        <v>0.16781547679144584</v>
      </c>
      <c r="K34" s="121">
        <f t="shared" si="0"/>
        <v>0.15050271120543218</v>
      </c>
    </row>
    <row r="35" spans="1:11" ht="16.5" thickBot="1">
      <c r="A35" s="257"/>
      <c r="B35" s="258"/>
      <c r="C35" s="259"/>
      <c r="D35" s="122" t="s">
        <v>244</v>
      </c>
      <c r="E35" s="123">
        <f>E11+E13+E15+E17+E19+E21+E23+E25+E27+E29+E31+E33</f>
        <v>69989.35031953632</v>
      </c>
      <c r="F35" s="123">
        <f aca="true" t="shared" si="1" ref="F35:K35">F11+F13+F15+F17+F19+F21+F23+F25+F27+F29+F31+F33</f>
        <v>11950.9344610751</v>
      </c>
      <c r="G35" s="123">
        <f t="shared" si="1"/>
        <v>11797.18987802104</v>
      </c>
      <c r="H35" s="123">
        <f t="shared" si="1"/>
        <v>12387.194626609202</v>
      </c>
      <c r="I35" s="123">
        <f t="shared" si="1"/>
        <v>11575.14818103744</v>
      </c>
      <c r="J35" s="123">
        <f t="shared" si="1"/>
        <v>11745.296194196519</v>
      </c>
      <c r="K35" s="124">
        <f t="shared" si="1"/>
        <v>10533.586978596997</v>
      </c>
    </row>
    <row r="36" spans="1:11" ht="16.5" thickBot="1">
      <c r="A36" s="92"/>
      <c r="B36" s="92"/>
      <c r="C36" s="92"/>
      <c r="D36" s="93"/>
      <c r="E36" s="93"/>
      <c r="F36" s="92"/>
      <c r="G36" s="92"/>
      <c r="H36" s="92"/>
      <c r="I36" s="92"/>
      <c r="J36" s="92"/>
      <c r="K36" s="92"/>
    </row>
    <row r="37" spans="1:11" ht="48.75" customHeight="1">
      <c r="A37" s="260" t="s">
        <v>247</v>
      </c>
      <c r="B37" s="261"/>
      <c r="C37" s="261"/>
      <c r="D37" s="261"/>
      <c r="E37" s="261"/>
      <c r="F37" s="261"/>
      <c r="G37" s="262"/>
      <c r="H37" s="125" t="s">
        <v>248</v>
      </c>
      <c r="I37" s="126"/>
      <c r="J37" s="126"/>
      <c r="K37" s="127"/>
    </row>
    <row r="38" spans="1:11" ht="15.75">
      <c r="A38" s="263" t="s">
        <v>172</v>
      </c>
      <c r="B38" s="264"/>
      <c r="C38" s="264"/>
      <c r="D38" s="264"/>
      <c r="E38" s="264"/>
      <c r="F38" s="264"/>
      <c r="G38" s="265"/>
      <c r="H38" s="128"/>
      <c r="I38" s="129"/>
      <c r="J38" s="129"/>
      <c r="K38" s="130"/>
    </row>
    <row r="39" spans="1:11" ht="15.75">
      <c r="A39" s="248" t="s">
        <v>249</v>
      </c>
      <c r="B39" s="249"/>
      <c r="C39" s="249"/>
      <c r="D39" s="249"/>
      <c r="E39" s="249"/>
      <c r="F39" s="249"/>
      <c r="G39" s="250"/>
      <c r="H39" s="131"/>
      <c r="I39" s="129"/>
      <c r="J39" s="129"/>
      <c r="K39" s="130"/>
    </row>
    <row r="40" spans="1:11" ht="15.75">
      <c r="A40" s="248" t="s">
        <v>255</v>
      </c>
      <c r="B40" s="249"/>
      <c r="C40" s="249"/>
      <c r="D40" s="249"/>
      <c r="E40" s="249"/>
      <c r="F40" s="249"/>
      <c r="G40" s="250"/>
      <c r="H40" s="131"/>
      <c r="I40" s="129"/>
      <c r="J40" s="129"/>
      <c r="K40" s="130"/>
    </row>
    <row r="41" spans="1:11" ht="16.5" thickBot="1">
      <c r="A41" s="251"/>
      <c r="B41" s="252"/>
      <c r="C41" s="252"/>
      <c r="D41" s="252"/>
      <c r="E41" s="252"/>
      <c r="F41" s="252"/>
      <c r="G41" s="253"/>
      <c r="H41" s="132"/>
      <c r="I41" s="133"/>
      <c r="J41" s="133"/>
      <c r="K41" s="134"/>
    </row>
  </sheetData>
  <sheetProtection/>
  <mergeCells count="50">
    <mergeCell ref="A40:G40"/>
    <mergeCell ref="A41:G41"/>
    <mergeCell ref="A34:C35"/>
    <mergeCell ref="A37:G37"/>
    <mergeCell ref="A32:A33"/>
    <mergeCell ref="B32:B33"/>
    <mergeCell ref="C32:C33"/>
    <mergeCell ref="A38:G38"/>
    <mergeCell ref="A39:G3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C8"/>
    <mergeCell ref="D8:H8"/>
    <mergeCell ref="I8:K8"/>
    <mergeCell ref="A10:A11"/>
    <mergeCell ref="B10:B11"/>
    <mergeCell ref="C10:C11"/>
    <mergeCell ref="A1:K3"/>
    <mergeCell ref="A5:K5"/>
    <mergeCell ref="A7:C7"/>
    <mergeCell ref="F7:H7"/>
    <mergeCell ref="I7:K7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Licitacao01</cp:lastModifiedBy>
  <cp:lastPrinted>2020-02-05T11:41:26Z</cp:lastPrinted>
  <dcterms:created xsi:type="dcterms:W3CDTF">2018-12-12T12:46:07Z</dcterms:created>
  <dcterms:modified xsi:type="dcterms:W3CDTF">2020-02-11T19:33:20Z</dcterms:modified>
  <cp:category/>
  <cp:version/>
  <cp:contentType/>
  <cp:contentStatus/>
</cp:coreProperties>
</file>